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ailsc-my.sharepoint.com/personal/sguess_mailbox_sc_edu/Documents/CAS/CAS Policies and Processes/Course Buyout/"/>
    </mc:Choice>
  </mc:AlternateContent>
  <xr:revisionPtr revIDLastSave="47" documentId="8_{B1CE77EB-1932-442A-B9A0-256DCDE34679}" xr6:coauthVersionLast="47" xr6:coauthVersionMax="47" xr10:uidLastSave="{0E5959CE-1F6F-4BA9-B109-1A5634657FA0}"/>
  <bookViews>
    <workbookView xWindow="-26865" yWindow="2475" windowWidth="21600" windowHeight="11295" activeTab="1" xr2:uid="{2FC4583E-6252-4AE9-81C0-1366D5CA80D5}"/>
  </bookViews>
  <sheets>
    <sheet name="Instructions" sheetId="3" r:id="rId1"/>
    <sheet name="Course Buyout Calc #1" sheetId="2" r:id="rId2"/>
    <sheet name="Course Buyout Calc #2" sheetId="4" r:id="rId3"/>
    <sheet name="Course Buyout Calc #3" sheetId="7" r:id="rId4"/>
    <sheet name="Course Buyout Calc #4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2" l="1"/>
  <c r="B9" i="8" l="1"/>
  <c r="B7" i="4"/>
  <c r="B43" i="8" l="1"/>
  <c r="B42" i="8"/>
  <c r="B41" i="8"/>
  <c r="B40" i="8"/>
  <c r="B36" i="8"/>
  <c r="C40" i="8" s="1"/>
  <c r="D40" i="8" s="1"/>
  <c r="C30" i="8"/>
  <c r="R15" i="8"/>
  <c r="C15" i="8"/>
  <c r="L14" i="8"/>
  <c r="L13" i="8" s="1"/>
  <c r="R13" i="8"/>
  <c r="R12" i="8"/>
  <c r="R11" i="8"/>
  <c r="E10" i="8"/>
  <c r="E11" i="8" s="1"/>
  <c r="R8" i="8"/>
  <c r="B7" i="8"/>
  <c r="D45" i="8" s="1"/>
  <c r="L5" i="8"/>
  <c r="E3" i="8"/>
  <c r="B43" i="7"/>
  <c r="B42" i="7"/>
  <c r="B41" i="7"/>
  <c r="B40" i="7"/>
  <c r="B36" i="7"/>
  <c r="C41" i="7" s="1"/>
  <c r="D41" i="7" s="1"/>
  <c r="C30" i="7"/>
  <c r="R15" i="7"/>
  <c r="C15" i="7"/>
  <c r="L14" i="7"/>
  <c r="R13" i="7"/>
  <c r="L13" i="7"/>
  <c r="R12" i="7"/>
  <c r="R11" i="7"/>
  <c r="B9" i="7"/>
  <c r="R8" i="7"/>
  <c r="B7" i="7"/>
  <c r="L5" i="7"/>
  <c r="C5" i="7"/>
  <c r="C4" i="7"/>
  <c r="E3" i="7"/>
  <c r="C3" i="7"/>
  <c r="B9" i="4"/>
  <c r="E3" i="4"/>
  <c r="C5" i="4"/>
  <c r="C4" i="4"/>
  <c r="C3" i="4"/>
  <c r="B43" i="4"/>
  <c r="B42" i="4"/>
  <c r="B41" i="4"/>
  <c r="B40" i="4"/>
  <c r="B36" i="4"/>
  <c r="C42" i="4" s="1"/>
  <c r="D42" i="4" s="1"/>
  <c r="C30" i="4"/>
  <c r="R15" i="4"/>
  <c r="C15" i="4"/>
  <c r="L14" i="4"/>
  <c r="R13" i="4"/>
  <c r="L13" i="4"/>
  <c r="R12" i="4"/>
  <c r="R11" i="4"/>
  <c r="R8" i="4"/>
  <c r="L5" i="4"/>
  <c r="C15" i="2"/>
  <c r="E10" i="2"/>
  <c r="D45" i="7" l="1"/>
  <c r="E10" i="4"/>
  <c r="E11" i="4" s="1"/>
  <c r="D45" i="4"/>
  <c r="C23" i="8"/>
  <c r="E10" i="7"/>
  <c r="E11" i="7" s="1"/>
  <c r="E12" i="7" s="1"/>
  <c r="C42" i="7"/>
  <c r="D42" i="7" s="1"/>
  <c r="C43" i="7"/>
  <c r="D43" i="7" s="1"/>
  <c r="E12" i="8"/>
  <c r="C42" i="8"/>
  <c r="D42" i="8" s="1"/>
  <c r="C41" i="8"/>
  <c r="D41" i="8" s="1"/>
  <c r="C43" i="8"/>
  <c r="D43" i="8" s="1"/>
  <c r="C40" i="7"/>
  <c r="D40" i="7" s="1"/>
  <c r="C40" i="4"/>
  <c r="D40" i="4" s="1"/>
  <c r="C41" i="4"/>
  <c r="D41" i="4" s="1"/>
  <c r="C43" i="4"/>
  <c r="D43" i="4" s="1"/>
  <c r="E11" i="2"/>
  <c r="B42" i="2"/>
  <c r="B41" i="2"/>
  <c r="B40" i="2"/>
  <c r="B43" i="2"/>
  <c r="B36" i="2"/>
  <c r="L14" i="2"/>
  <c r="L13" i="2" s="1"/>
  <c r="L5" i="2"/>
  <c r="R15" i="2"/>
  <c r="R13" i="2"/>
  <c r="R12" i="2"/>
  <c r="R11" i="2"/>
  <c r="R8" i="2"/>
  <c r="E12" i="4" l="1"/>
  <c r="C23" i="7"/>
  <c r="E12" i="2"/>
  <c r="D44" i="8"/>
  <c r="D44" i="7"/>
  <c r="D44" i="4"/>
  <c r="C41" i="2"/>
  <c r="D41" i="2" s="1"/>
  <c r="C40" i="2"/>
  <c r="D40" i="2" s="1"/>
  <c r="C42" i="2"/>
  <c r="D42" i="2" s="1"/>
  <c r="C43" i="2"/>
  <c r="D43" i="2" s="1"/>
  <c r="C30" i="2"/>
  <c r="C31" i="8" s="1"/>
  <c r="D26" i="7" l="1"/>
  <c r="D26" i="8"/>
  <c r="D26" i="2"/>
  <c r="C31" i="7"/>
  <c r="D26" i="4"/>
  <c r="C23" i="4"/>
  <c r="C31" i="4" s="1"/>
  <c r="C23" i="2"/>
  <c r="C31" i="2" s="1"/>
  <c r="D44" i="2"/>
</calcChain>
</file>

<file path=xl/sharedStrings.xml><?xml version="1.0" encoding="utf-8"?>
<sst xmlns="http://schemas.openxmlformats.org/spreadsheetml/2006/main" count="524" uniqueCount="127">
  <si>
    <t>Faculty Name</t>
  </si>
  <si>
    <t>Faculty Banner ID</t>
  </si>
  <si>
    <t>1:1</t>
  </si>
  <si>
    <t>2:2</t>
  </si>
  <si>
    <t>3:3</t>
  </si>
  <si>
    <t>NIH Cap Rate</t>
  </si>
  <si>
    <t>Term</t>
  </si>
  <si>
    <t>Department</t>
  </si>
  <si>
    <t>Loads</t>
  </si>
  <si>
    <t>Buyout %</t>
  </si>
  <si>
    <t>Fringe Rates - Effective 1/1 - 6/30/24</t>
  </si>
  <si>
    <t>Fall</t>
  </si>
  <si>
    <t>African American Studies</t>
  </si>
  <si>
    <t>State Retirement</t>
  </si>
  <si>
    <t>Spring</t>
  </si>
  <si>
    <t>Anthropology</t>
  </si>
  <si>
    <t>1:2 or 2:1</t>
  </si>
  <si>
    <t>FICA (Social Security)</t>
  </si>
  <si>
    <t>Summer</t>
  </si>
  <si>
    <t>Baruch Institute</t>
  </si>
  <si>
    <t>Unemployment Compensation</t>
  </si>
  <si>
    <t>Bioethics</t>
  </si>
  <si>
    <t>2:3 or 3:2</t>
  </si>
  <si>
    <t>Worker's Compensation</t>
  </si>
  <si>
    <t>Yes</t>
  </si>
  <si>
    <t>Biology</t>
  </si>
  <si>
    <t>Total</t>
  </si>
  <si>
    <t>No</t>
  </si>
  <si>
    <t>CDH</t>
  </si>
  <si>
    <t>" "</t>
  </si>
  <si>
    <t>Chemistry</t>
  </si>
  <si>
    <t>Health Insurance (Based on 9 month appointment)</t>
  </si>
  <si>
    <t>Colon Cancer</t>
  </si>
  <si>
    <t>Employee</t>
  </si>
  <si>
    <t>Confucius</t>
  </si>
  <si>
    <t>Employee with Child</t>
  </si>
  <si>
    <t>Employee with spouse</t>
  </si>
  <si>
    <t>Criminal Justice</t>
  </si>
  <si>
    <t>Employee full family</t>
  </si>
  <si>
    <t>Electron Microscopy</t>
  </si>
  <si>
    <t>English</t>
  </si>
  <si>
    <t>ESRI</t>
  </si>
  <si>
    <t>Geography</t>
  </si>
  <si>
    <t>History</t>
  </si>
  <si>
    <t>IAAR</t>
  </si>
  <si>
    <t>Interdisciplinary Math</t>
  </si>
  <si>
    <t>IPSPR</t>
  </si>
  <si>
    <t>Jewish Studies</t>
  </si>
  <si>
    <t>LING</t>
  </si>
  <si>
    <t>LLC</t>
  </si>
  <si>
    <t>Math</t>
  </si>
  <si>
    <t>McKissick Museum</t>
  </si>
  <si>
    <t>Mind &amp; Brain Institute</t>
  </si>
  <si>
    <t>Nano Center</t>
  </si>
  <si>
    <t>Philosophy</t>
  </si>
  <si>
    <t>Physics</t>
  </si>
  <si>
    <t>Poli Sci</t>
  </si>
  <si>
    <t>Psych Services Center</t>
  </si>
  <si>
    <t>Psychology</t>
  </si>
  <si>
    <t>Religious Studies</t>
  </si>
  <si>
    <t>ROTC</t>
  </si>
  <si>
    <t>SCIAA</t>
  </si>
  <si>
    <t>Science Ed</t>
  </si>
  <si>
    <t>SEOE</t>
  </si>
  <si>
    <t>Sociology</t>
  </si>
  <si>
    <t>SOST</t>
  </si>
  <si>
    <t>Statistics</t>
  </si>
  <si>
    <t>Theatre &amp; Dance</t>
  </si>
  <si>
    <t>Walker Institute</t>
  </si>
  <si>
    <t>WGST</t>
  </si>
  <si>
    <t>Academic Year Load (Per Contract)</t>
  </si>
  <si>
    <t>School of Visual Art &amp; Design &amp; Film/Media Studies</t>
  </si>
  <si>
    <t>Administrative Course Release per Academic Year (if applicable)</t>
  </si>
  <si>
    <t>Requested Number of Course Buyout(s)</t>
  </si>
  <si>
    <t>Total Cost of Buyouts</t>
  </si>
  <si>
    <t>Per Course Buyout %</t>
  </si>
  <si>
    <t>9 month</t>
  </si>
  <si>
    <t>12 Month</t>
  </si>
  <si>
    <t>12 month</t>
  </si>
  <si>
    <t>NOTE - estiamted at 2% growth</t>
  </si>
  <si>
    <t>adjust to actual</t>
  </si>
  <si>
    <t>Split to Projects</t>
  </si>
  <si>
    <t>Project Numbers</t>
  </si>
  <si>
    <t>Amount Allocated</t>
  </si>
  <si>
    <t># of paychecks buyout is distributed over</t>
  </si>
  <si>
    <t>Annualized Salary Amount</t>
  </si>
  <si>
    <t>Amt Per Pay Period</t>
  </si>
  <si>
    <t>A Fund/Other Funding</t>
  </si>
  <si>
    <t>Total Base Salary</t>
  </si>
  <si>
    <t>Date this Form Completed</t>
  </si>
  <si>
    <t>Person Completing Form</t>
  </si>
  <si>
    <t>Term that Payroll will start</t>
  </si>
  <si>
    <t>PARF/HCM Base Salary</t>
  </si>
  <si>
    <t>12 month Base</t>
  </si>
  <si>
    <t>Per Paycheck</t>
  </si>
  <si>
    <t>If Salary Over NIH CAP</t>
  </si>
  <si>
    <t>Costshare Capture</t>
  </si>
  <si>
    <t>PARF/HCM Distribution</t>
  </si>
  <si>
    <t>Payroll Earnings Effective Date</t>
  </si>
  <si>
    <t>Payroll Earnings End Date</t>
  </si>
  <si>
    <t>Note - Should be the first day of pay period - ie. 8/16/24 for FY24-25 Fall Term starts and 1/1/25 for FY24-25 Spring term starts.</t>
  </si>
  <si>
    <t xml:space="preserve">Note - Should be the last  day of pay period - ie. 12/31/24 for FY24-25 Fall ending dates or 5/15/25 for Spring ending dates. </t>
  </si>
  <si>
    <t>2023-24</t>
  </si>
  <si>
    <t>2024-25</t>
  </si>
  <si>
    <t>2025-26</t>
  </si>
  <si>
    <t>2026-27</t>
  </si>
  <si>
    <t>2027-28</t>
  </si>
  <si>
    <t>Academic Year of Buyout</t>
  </si>
  <si>
    <t>Semester of Buyout</t>
  </si>
  <si>
    <t>----OR----</t>
  </si>
  <si>
    <r>
      <t>Base Pay</t>
    </r>
    <r>
      <rPr>
        <sz val="11"/>
        <color rgb="FFFF0000"/>
        <rFont val="Calibri"/>
        <family val="2"/>
        <scheme val="minor"/>
      </rPr>
      <t xml:space="preserve"> (</t>
    </r>
    <r>
      <rPr>
        <i/>
        <sz val="11"/>
        <color rgb="FFFF0000"/>
        <rFont val="Calibri"/>
        <family val="2"/>
        <scheme val="minor"/>
      </rPr>
      <t>If 9 month employee</t>
    </r>
    <r>
      <rPr>
        <sz val="11"/>
        <color rgb="FFFF0000"/>
        <rFont val="Calibri"/>
        <family val="2"/>
        <scheme val="minor"/>
      </rPr>
      <t>)</t>
    </r>
  </si>
  <si>
    <r>
      <t xml:space="preserve">Base Pay </t>
    </r>
    <r>
      <rPr>
        <sz val="11"/>
        <color rgb="FFFF0000"/>
        <rFont val="Calibri"/>
        <family val="2"/>
        <scheme val="minor"/>
      </rPr>
      <t>(</t>
    </r>
    <r>
      <rPr>
        <i/>
        <sz val="11"/>
        <color rgb="FFFF0000"/>
        <rFont val="Calibri"/>
        <family val="2"/>
        <scheme val="minor"/>
      </rPr>
      <t>if 11 or 12 month employee</t>
    </r>
    <r>
      <rPr>
        <sz val="11"/>
        <color theme="1"/>
        <rFont val="Calibri"/>
        <family val="2"/>
        <scheme val="minor"/>
      </rPr>
      <t>)</t>
    </r>
  </si>
  <si>
    <t>9 month Base</t>
  </si>
  <si>
    <r>
      <t xml:space="preserve">Actual Pay Basis </t>
    </r>
    <r>
      <rPr>
        <i/>
        <sz val="11"/>
        <color rgb="FFFF0000"/>
        <rFont val="Calibri"/>
        <family val="2"/>
        <scheme val="minor"/>
      </rPr>
      <t>(9, or 12 month)</t>
    </r>
  </si>
  <si>
    <t>No NIH CAP</t>
  </si>
  <si>
    <t>If it has been approved that the NIH Cap does not apply to this faculty member, please note "No NIH Cap"</t>
  </si>
  <si>
    <r>
      <t>If the buyout is being charged to a CAS Commitment, enter the commitment # here.</t>
    </r>
    <r>
      <rPr>
        <sz val="11"/>
        <color rgb="FFFF0000"/>
        <rFont val="Calibri"/>
        <family val="2"/>
        <scheme val="minor"/>
      </rPr>
      <t xml:space="preserve">  </t>
    </r>
  </si>
  <si>
    <t>Please note that the payroll buyout should be charged to the Operating Fund Account ending in "75" (xxxx75 A0001).</t>
  </si>
  <si>
    <t xml:space="preserve">Please NOTE!  If buyout is being split to projects over different number of periods, a separate form must be completed for each project.   Please complete a separate "Course Buyout Calc" Tab for each project. </t>
  </si>
  <si>
    <t>Password for protection: CASbuyout!</t>
  </si>
  <si>
    <t>For 2025 Awards - 1/1/ - 12/31/25</t>
  </si>
  <si>
    <t>For 2026 Awards - 1/1 - 12/30/26</t>
  </si>
  <si>
    <t>estimated - will adjust to actual</t>
  </si>
  <si>
    <t>For 2025 Awards - 1/1 - 12/31/25</t>
  </si>
  <si>
    <t>For 2026 Awards - 1/1 - 12/31/26</t>
  </si>
  <si>
    <t>NOTE - estimated at 2% growth</t>
  </si>
  <si>
    <t>NOTE - estimaed at 2%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</si>
</sst>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00000"/>
      </left>
      <right/>
      <top/>
      <bottom/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medium">
        <color rgb="FFC00000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2" fillId="2" borderId="1" xfId="0" applyFont="1" applyFill="1" applyBorder="1" applyAlignment="1" applyProtection="1">
      <alignment horizontal="center" wrapText="1"/>
      <protection locked="0"/>
    </xf>
    <xf numFmtId="0" fontId="3" fillId="3" borderId="2" xfId="0" applyFont="1" applyFill="1" applyBorder="1" applyProtection="1">
      <protection locked="0"/>
    </xf>
    <xf numFmtId="0" fontId="2" fillId="4" borderId="3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2" fillId="6" borderId="4" xfId="0" applyFont="1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4" fillId="3" borderId="8" xfId="0" applyFont="1" applyFill="1" applyBorder="1" applyProtection="1">
      <protection locked="0"/>
    </xf>
    <xf numFmtId="0" fontId="0" fillId="4" borderId="9" xfId="0" applyFill="1" applyBorder="1" applyProtection="1">
      <protection locked="0"/>
    </xf>
    <xf numFmtId="20" fontId="0" fillId="5" borderId="9" xfId="0" quotePrefix="1" applyNumberFormat="1" applyFill="1" applyBorder="1" applyProtection="1">
      <protection locked="0"/>
    </xf>
    <xf numFmtId="9" fontId="0" fillId="6" borderId="9" xfId="0" applyNumberFormat="1" applyFill="1" applyBorder="1" applyProtection="1">
      <protection locked="0"/>
    </xf>
    <xf numFmtId="0" fontId="0" fillId="7" borderId="10" xfId="0" applyFill="1" applyBorder="1" applyProtection="1">
      <protection locked="0"/>
    </xf>
    <xf numFmtId="10" fontId="0" fillId="7" borderId="11" xfId="3" applyNumberFormat="1" applyFont="1" applyFill="1" applyBorder="1" applyProtection="1">
      <protection locked="0"/>
    </xf>
    <xf numFmtId="43" fontId="0" fillId="2" borderId="12" xfId="2" applyFont="1" applyFill="1" applyBorder="1" applyAlignment="1" applyProtection="1">
      <alignment horizontal="center"/>
      <protection locked="0"/>
    </xf>
    <xf numFmtId="0" fontId="0" fillId="4" borderId="13" xfId="0" applyFill="1" applyBorder="1" applyProtection="1">
      <protection locked="0"/>
    </xf>
    <xf numFmtId="0" fontId="0" fillId="5" borderId="13" xfId="0" quotePrefix="1" applyFill="1" applyBorder="1" applyProtection="1">
      <protection locked="0"/>
    </xf>
    <xf numFmtId="10" fontId="0" fillId="6" borderId="13" xfId="0" applyNumberFormat="1" applyFill="1" applyBorder="1" applyProtection="1">
      <protection locked="0"/>
    </xf>
    <xf numFmtId="0" fontId="0" fillId="7" borderId="14" xfId="0" applyFill="1" applyBorder="1" applyProtection="1">
      <protection locked="0"/>
    </xf>
    <xf numFmtId="10" fontId="0" fillId="7" borderId="15" xfId="3" applyNumberFormat="1" applyFont="1" applyFill="1" applyBorder="1" applyProtection="1">
      <protection locked="0"/>
    </xf>
    <xf numFmtId="0" fontId="4" fillId="3" borderId="16" xfId="0" applyFont="1" applyFill="1" applyBorder="1" applyProtection="1">
      <protection locked="0"/>
    </xf>
    <xf numFmtId="9" fontId="0" fillId="6" borderId="13" xfId="0" applyNumberForma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8" borderId="17" xfId="0" applyFill="1" applyBorder="1" applyAlignment="1" applyProtection="1">
      <alignment horizontal="center"/>
      <protection locked="0"/>
    </xf>
    <xf numFmtId="0" fontId="0" fillId="7" borderId="18" xfId="0" applyFill="1" applyBorder="1" applyProtection="1">
      <protection locked="0"/>
    </xf>
    <xf numFmtId="10" fontId="0" fillId="7" borderId="19" xfId="3" applyNumberFormat="1" applyFont="1" applyFill="1" applyBorder="1" applyProtection="1">
      <protection locked="0"/>
    </xf>
    <xf numFmtId="0" fontId="0" fillId="8" borderId="12" xfId="0" applyFill="1" applyBorder="1" applyAlignment="1" applyProtection="1">
      <alignment horizontal="center"/>
      <protection locked="0"/>
    </xf>
    <xf numFmtId="0" fontId="0" fillId="5" borderId="16" xfId="0" applyFill="1" applyBorder="1" applyProtection="1">
      <protection locked="0"/>
    </xf>
    <xf numFmtId="9" fontId="0" fillId="6" borderId="12" xfId="0" applyNumberFormat="1" applyFill="1" applyBorder="1" applyProtection="1">
      <protection locked="0"/>
    </xf>
    <xf numFmtId="0" fontId="0" fillId="7" borderId="0" xfId="0" applyFill="1" applyProtection="1">
      <protection locked="0"/>
    </xf>
    <xf numFmtId="10" fontId="0" fillId="7" borderId="0" xfId="3" applyNumberFormat="1" applyFont="1" applyFill="1" applyProtection="1">
      <protection locked="0"/>
    </xf>
    <xf numFmtId="0" fontId="0" fillId="4" borderId="20" xfId="0" applyFill="1" applyBorder="1" applyProtection="1">
      <protection locked="0"/>
    </xf>
    <xf numFmtId="0" fontId="0" fillId="7" borderId="21" xfId="0" applyFill="1" applyBorder="1" applyProtection="1">
      <protection locked="0"/>
    </xf>
    <xf numFmtId="43" fontId="0" fillId="7" borderId="22" xfId="2" applyFont="1" applyFill="1" applyBorder="1" applyProtection="1">
      <protection locked="0"/>
    </xf>
    <xf numFmtId="43" fontId="0" fillId="7" borderId="15" xfId="2" applyFont="1" applyFill="1" applyBorder="1" applyProtection="1">
      <protection locked="0"/>
    </xf>
    <xf numFmtId="0" fontId="0" fillId="7" borderId="23" xfId="0" applyFill="1" applyBorder="1" applyProtection="1">
      <protection locked="0"/>
    </xf>
    <xf numFmtId="43" fontId="0" fillId="7" borderId="24" xfId="2" applyFont="1" applyFill="1" applyBorder="1" applyProtection="1">
      <protection locked="0"/>
    </xf>
    <xf numFmtId="43" fontId="0" fillId="7" borderId="19" xfId="2" applyFont="1" applyFill="1" applyBorder="1" applyProtection="1">
      <protection locked="0"/>
    </xf>
    <xf numFmtId="43" fontId="0" fillId="7" borderId="0" xfId="2" applyFont="1" applyFill="1" applyBorder="1" applyProtection="1">
      <protection locked="0"/>
    </xf>
    <xf numFmtId="43" fontId="0" fillId="0" borderId="0" xfId="2" applyFont="1" applyProtection="1">
      <protection locked="0"/>
    </xf>
    <xf numFmtId="10" fontId="0" fillId="0" borderId="0" xfId="3" applyNumberFormat="1" applyFont="1" applyProtection="1">
      <protection locked="0"/>
    </xf>
    <xf numFmtId="0" fontId="0" fillId="4" borderId="12" xfId="0" applyFill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4" fontId="0" fillId="11" borderId="25" xfId="1" applyFont="1" applyFill="1" applyBorder="1" applyAlignment="1" applyProtection="1">
      <alignment horizontal="center"/>
    </xf>
    <xf numFmtId="164" fontId="0" fillId="11" borderId="25" xfId="1" applyNumberFormat="1" applyFont="1" applyFill="1" applyBorder="1" applyProtection="1"/>
    <xf numFmtId="10" fontId="0" fillId="11" borderId="25" xfId="3" applyNumberFormat="1" applyFont="1" applyFill="1" applyBorder="1" applyAlignment="1" applyProtection="1">
      <alignment horizontal="center"/>
    </xf>
    <xf numFmtId="44" fontId="0" fillId="11" borderId="25" xfId="1" applyFont="1" applyFill="1" applyBorder="1" applyAlignment="1" applyProtection="1">
      <alignment horizontal="right"/>
    </xf>
    <xf numFmtId="0" fontId="0" fillId="9" borderId="25" xfId="0" applyFill="1" applyBorder="1" applyAlignment="1" applyProtection="1">
      <alignment horizontal="center"/>
      <protection locked="0"/>
    </xf>
    <xf numFmtId="14" fontId="0" fillId="9" borderId="25" xfId="0" applyNumberFormat="1" applyFill="1" applyBorder="1" applyAlignment="1" applyProtection="1">
      <alignment horizontal="center"/>
      <protection locked="0"/>
    </xf>
    <xf numFmtId="0" fontId="0" fillId="9" borderId="25" xfId="0" applyFill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44" fontId="0" fillId="9" borderId="25" xfId="1" applyFont="1" applyFill="1" applyBorder="1" applyAlignment="1" applyProtection="1">
      <alignment horizontal="center"/>
      <protection locked="0"/>
    </xf>
    <xf numFmtId="0" fontId="0" fillId="0" borderId="0" xfId="0" quotePrefix="1" applyAlignment="1" applyProtection="1">
      <alignment horizontal="center"/>
      <protection locked="0"/>
    </xf>
    <xf numFmtId="165" fontId="0" fillId="9" borderId="27" xfId="2" applyNumberFormat="1" applyFont="1" applyFill="1" applyBorder="1" applyAlignment="1" applyProtection="1">
      <alignment horizontal="center"/>
      <protection locked="0"/>
    </xf>
    <xf numFmtId="0" fontId="0" fillId="9" borderId="25" xfId="0" applyFill="1" applyBorder="1" applyAlignment="1" applyProtection="1">
      <alignment horizontal="right"/>
      <protection locked="0"/>
    </xf>
    <xf numFmtId="164" fontId="0" fillId="0" borderId="0" xfId="1" applyNumberFormat="1" applyFont="1" applyFill="1" applyBorder="1" applyAlignment="1" applyProtection="1">
      <alignment horizontal="center"/>
      <protection locked="0"/>
    </xf>
    <xf numFmtId="0" fontId="0" fillId="9" borderId="28" xfId="0" applyFill="1" applyBorder="1" applyAlignment="1" applyProtection="1">
      <alignment horizontal="right"/>
      <protection locked="0"/>
    </xf>
    <xf numFmtId="10" fontId="0" fillId="0" borderId="0" xfId="3" applyNumberFormat="1" applyFont="1" applyFill="1" applyBorder="1" applyAlignment="1" applyProtection="1">
      <alignment horizontal="center"/>
      <protection locked="0"/>
    </xf>
    <xf numFmtId="10" fontId="0" fillId="9" borderId="25" xfId="3" applyNumberFormat="1" applyFont="1" applyFill="1" applyBorder="1" applyAlignment="1" applyProtection="1">
      <alignment horizontal="center"/>
      <protection locked="0"/>
    </xf>
    <xf numFmtId="0" fontId="0" fillId="0" borderId="40" xfId="0" applyBorder="1" applyProtection="1">
      <protection locked="0"/>
    </xf>
    <xf numFmtId="44" fontId="0" fillId="0" borderId="39" xfId="1" applyFont="1" applyFill="1" applyBorder="1" applyAlignment="1" applyProtection="1">
      <alignment horizontal="center"/>
      <protection locked="0"/>
    </xf>
    <xf numFmtId="0" fontId="0" fillId="10" borderId="25" xfId="0" applyFill="1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10" borderId="28" xfId="0" applyFill="1" applyBorder="1" applyAlignment="1" applyProtection="1">
      <alignment horizontal="center"/>
      <protection locked="0"/>
    </xf>
    <xf numFmtId="44" fontId="0" fillId="9" borderId="25" xfId="0" applyNumberFormat="1" applyFill="1" applyBorder="1" applyAlignment="1" applyProtection="1">
      <alignment horizontal="center"/>
      <protection locked="0"/>
    </xf>
    <xf numFmtId="0" fontId="0" fillId="0" borderId="25" xfId="0" applyBorder="1" applyProtection="1">
      <protection locked="0"/>
    </xf>
    <xf numFmtId="44" fontId="0" fillId="0" borderId="25" xfId="1" applyFont="1" applyBorder="1" applyAlignment="1" applyProtection="1">
      <alignment horizontal="center"/>
      <protection locked="0"/>
    </xf>
    <xf numFmtId="44" fontId="0" fillId="11" borderId="28" xfId="0" applyNumberFormat="1" applyFill="1" applyBorder="1"/>
    <xf numFmtId="0" fontId="10" fillId="11" borderId="25" xfId="0" applyFont="1" applyFill="1" applyBorder="1" applyAlignment="1">
      <alignment horizontal="center" wrapText="1"/>
    </xf>
    <xf numFmtId="0" fontId="5" fillId="11" borderId="25" xfId="0" applyFont="1" applyFill="1" applyBorder="1"/>
    <xf numFmtId="0" fontId="0" fillId="11" borderId="25" xfId="0" applyFill="1" applyBorder="1"/>
    <xf numFmtId="44" fontId="0" fillId="11" borderId="30" xfId="1" applyFont="1" applyFill="1" applyBorder="1" applyProtection="1"/>
    <xf numFmtId="44" fontId="0" fillId="11" borderId="34" xfId="1" applyFont="1" applyFill="1" applyBorder="1" applyProtection="1"/>
    <xf numFmtId="0" fontId="0" fillId="10" borderId="26" xfId="0" applyFill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10" borderId="35" xfId="0" applyFill="1" applyBorder="1" applyAlignment="1" applyProtection="1">
      <alignment horizontal="center"/>
      <protection locked="0"/>
    </xf>
    <xf numFmtId="0" fontId="0" fillId="0" borderId="29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32" xfId="0" applyBorder="1" applyProtection="1">
      <protection locked="0"/>
    </xf>
    <xf numFmtId="0" fontId="0" fillId="11" borderId="28" xfId="0" applyFill="1" applyBorder="1"/>
    <xf numFmtId="0" fontId="9" fillId="0" borderId="0" xfId="0" applyFont="1" applyAlignment="1" applyProtection="1">
      <alignment wrapText="1"/>
      <protection locked="0"/>
    </xf>
    <xf numFmtId="44" fontId="0" fillId="11" borderId="28" xfId="1" applyFont="1" applyFill="1" applyBorder="1"/>
    <xf numFmtId="0" fontId="2" fillId="7" borderId="5" xfId="0" applyFont="1" applyFill="1" applyBorder="1" applyAlignment="1" applyProtection="1">
      <alignment horizontal="center"/>
      <protection locked="0"/>
    </xf>
    <xf numFmtId="0" fontId="2" fillId="7" borderId="6" xfId="0" applyFont="1" applyFill="1" applyBorder="1" applyAlignment="1" applyProtection="1">
      <alignment horizontal="center"/>
      <protection locked="0"/>
    </xf>
    <xf numFmtId="0" fontId="6" fillId="10" borderId="36" xfId="0" applyFont="1" applyFill="1" applyBorder="1" applyAlignment="1" applyProtection="1">
      <alignment horizontal="center"/>
      <protection locked="0"/>
    </xf>
    <xf numFmtId="0" fontId="6" fillId="10" borderId="37" xfId="0" applyFont="1" applyFill="1" applyBorder="1" applyAlignment="1" applyProtection="1">
      <alignment horizontal="center"/>
      <protection locked="0"/>
    </xf>
    <xf numFmtId="0" fontId="6" fillId="10" borderId="38" xfId="0" applyFont="1" applyFill="1" applyBorder="1" applyAlignment="1" applyProtection="1">
      <alignment horizontal="center"/>
      <protection locked="0"/>
    </xf>
    <xf numFmtId="0" fontId="7" fillId="0" borderId="43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 wrapText="1"/>
      <protection locked="0"/>
    </xf>
    <xf numFmtId="0" fontId="7" fillId="12" borderId="43" xfId="0" applyFont="1" applyFill="1" applyBorder="1" applyAlignment="1" applyProtection="1">
      <alignment horizontal="center" wrapText="1"/>
      <protection locked="0"/>
    </xf>
    <xf numFmtId="0" fontId="7" fillId="12" borderId="0" xfId="0" applyFont="1" applyFill="1" applyAlignment="1" applyProtection="1">
      <alignment horizontal="center" wrapText="1"/>
      <protection locked="0"/>
    </xf>
    <xf numFmtId="0" fontId="7" fillId="0" borderId="41" xfId="0" applyFont="1" applyBorder="1" applyAlignment="1" applyProtection="1">
      <alignment horizontal="center" wrapText="1"/>
      <protection locked="0"/>
    </xf>
    <xf numFmtId="0" fontId="7" fillId="0" borderId="42" xfId="0" applyFont="1" applyBorder="1" applyAlignment="1" applyProtection="1">
      <alignment horizontal="center" wrapText="1"/>
      <protection locked="0"/>
    </xf>
    <xf numFmtId="0" fontId="7" fillId="12" borderId="0" xfId="0" applyFont="1" applyFill="1" applyAlignment="1" applyProtection="1">
      <alignment horizontal="left" wrapText="1"/>
      <protection locked="0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496050</xdr:colOff>
      <xdr:row>37</xdr:row>
      <xdr:rowOff>39040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9DDACB-CC5D-0E29-BE6C-CDAE15AEF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72850" cy="6735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D652D-DD0F-4F7F-90AC-B0664EB7E881}">
  <dimension ref="A39:A40"/>
  <sheetViews>
    <sheetView topLeftCell="A12" workbookViewId="0">
      <selection activeCell="A39" sqref="A39:XFD40"/>
    </sheetView>
  </sheetViews>
  <sheetFormatPr defaultRowHeight="15" x14ac:dyDescent="0.25"/>
  <sheetData>
    <row r="39" spans="1:1" hidden="1" x14ac:dyDescent="0.25"/>
    <row r="40" spans="1:1" hidden="1" x14ac:dyDescent="0.25">
      <c r="A40" t="s">
        <v>119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C2282-3C16-400C-B9DE-0340A846B1F1}">
  <dimension ref="A1:R50"/>
  <sheetViews>
    <sheetView tabSelected="1" zoomScale="90" zoomScaleNormal="90" workbookViewId="0">
      <selection activeCell="E17" sqref="E17"/>
    </sheetView>
  </sheetViews>
  <sheetFormatPr defaultColWidth="8.85546875" defaultRowHeight="15" x14ac:dyDescent="0.25"/>
  <cols>
    <col min="1" max="1" width="39.28515625" style="22" customWidth="1"/>
    <col min="2" max="2" width="33.5703125" style="22" customWidth="1"/>
    <col min="3" max="3" width="19.42578125" style="21" customWidth="1"/>
    <col min="4" max="4" width="27.7109375" style="22" customWidth="1"/>
    <col min="5" max="5" width="21.5703125" style="22" customWidth="1"/>
    <col min="6" max="9" width="8.85546875" style="22"/>
    <col min="10" max="10" width="8.85546875" style="22" customWidth="1"/>
    <col min="11" max="11" width="8.85546875" style="22" hidden="1" customWidth="1"/>
    <col min="12" max="12" width="31" style="22" hidden="1" customWidth="1"/>
    <col min="13" max="13" width="8.85546875" style="22" hidden="1" customWidth="1"/>
    <col min="14" max="14" width="27" style="22" hidden="1" customWidth="1"/>
    <col min="15" max="16" width="8.85546875" style="22" hidden="1" customWidth="1"/>
    <col min="17" max="17" width="28.7109375" style="22" hidden="1" customWidth="1"/>
    <col min="18" max="18" width="10.5703125" style="22" hidden="1" customWidth="1"/>
    <col min="19" max="19" width="8.85546875" style="22" customWidth="1"/>
    <col min="20" max="16384" width="8.85546875" style="22"/>
  </cols>
  <sheetData>
    <row r="1" spans="1:18" x14ac:dyDescent="0.25">
      <c r="A1" s="22" t="s">
        <v>107</v>
      </c>
      <c r="B1" s="47"/>
    </row>
    <row r="2" spans="1:18" ht="15.75" thickBot="1" x14ac:dyDescent="0.3">
      <c r="A2" s="22" t="s">
        <v>108</v>
      </c>
      <c r="B2" s="47"/>
    </row>
    <row r="3" spans="1:18" ht="15.75" thickBot="1" x14ac:dyDescent="0.3">
      <c r="A3" s="22" t="s">
        <v>89</v>
      </c>
      <c r="C3" s="48"/>
      <c r="D3" s="22" t="s">
        <v>90</v>
      </c>
      <c r="E3" s="49"/>
      <c r="L3" s="1" t="s">
        <v>5</v>
      </c>
      <c r="M3" s="2" t="s">
        <v>6</v>
      </c>
      <c r="N3" s="3" t="s">
        <v>7</v>
      </c>
      <c r="O3" s="4" t="s">
        <v>8</v>
      </c>
      <c r="P3" s="5" t="s">
        <v>9</v>
      </c>
      <c r="Q3" s="84" t="s">
        <v>10</v>
      </c>
      <c r="R3" s="85"/>
    </row>
    <row r="4" spans="1:18" x14ac:dyDescent="0.25">
      <c r="A4" s="50" t="s">
        <v>0</v>
      </c>
      <c r="B4" s="50"/>
      <c r="C4" s="47"/>
      <c r="L4" s="6" t="s">
        <v>123</v>
      </c>
      <c r="M4" s="7" t="s">
        <v>11</v>
      </c>
      <c r="N4" s="8" t="s">
        <v>12</v>
      </c>
      <c r="O4" s="9" t="s">
        <v>2</v>
      </c>
      <c r="P4" s="10">
        <v>0.2</v>
      </c>
      <c r="Q4" s="11" t="s">
        <v>13</v>
      </c>
      <c r="R4" s="12">
        <v>0.24909999999999999</v>
      </c>
    </row>
    <row r="5" spans="1:18" ht="15.75" thickBot="1" x14ac:dyDescent="0.3">
      <c r="A5" s="50" t="s">
        <v>1</v>
      </c>
      <c r="B5" s="50"/>
      <c r="C5" s="47"/>
      <c r="K5" s="22" t="s">
        <v>76</v>
      </c>
      <c r="L5" s="13">
        <f>L6*9/12</f>
        <v>169275</v>
      </c>
      <c r="M5" s="7" t="s">
        <v>14</v>
      </c>
      <c r="N5" s="14" t="s">
        <v>15</v>
      </c>
      <c r="O5" s="15" t="s">
        <v>16</v>
      </c>
      <c r="P5" s="16">
        <v>0.13300000000000001</v>
      </c>
      <c r="Q5" s="17" t="s">
        <v>17</v>
      </c>
      <c r="R5" s="18">
        <v>7.6499999999999999E-2</v>
      </c>
    </row>
    <row r="6" spans="1:18" ht="15.75" thickBot="1" x14ac:dyDescent="0.3">
      <c r="A6" s="22" t="s">
        <v>7</v>
      </c>
      <c r="C6" s="47"/>
      <c r="K6" s="22" t="s">
        <v>77</v>
      </c>
      <c r="L6" s="13">
        <v>225700</v>
      </c>
      <c r="M6" s="19" t="s">
        <v>18</v>
      </c>
      <c r="N6" s="14" t="s">
        <v>19</v>
      </c>
      <c r="O6" s="15" t="s">
        <v>3</v>
      </c>
      <c r="P6" s="20">
        <v>0.1</v>
      </c>
      <c r="Q6" s="17" t="s">
        <v>20</v>
      </c>
      <c r="R6" s="18">
        <v>1E-4</v>
      </c>
    </row>
    <row r="7" spans="1:18" ht="15.75" thickBot="1" x14ac:dyDescent="0.3">
      <c r="A7" s="22" t="s">
        <v>110</v>
      </c>
      <c r="B7" s="51"/>
      <c r="L7" s="21"/>
      <c r="N7" s="14" t="s">
        <v>21</v>
      </c>
      <c r="O7" s="15" t="s">
        <v>22</v>
      </c>
      <c r="P7" s="20">
        <v>0.08</v>
      </c>
      <c r="Q7" s="17" t="s">
        <v>23</v>
      </c>
      <c r="R7" s="18">
        <v>4.0000000000000001E-3</v>
      </c>
    </row>
    <row r="8" spans="1:18" ht="15.75" thickBot="1" x14ac:dyDescent="0.3">
      <c r="B8" s="52" t="s">
        <v>109</v>
      </c>
      <c r="L8" s="23" t="s">
        <v>24</v>
      </c>
      <c r="N8" s="14" t="s">
        <v>25</v>
      </c>
      <c r="O8" s="15" t="s">
        <v>4</v>
      </c>
      <c r="P8" s="16">
        <v>6.7000000000000004E-2</v>
      </c>
      <c r="Q8" s="24" t="s">
        <v>26</v>
      </c>
      <c r="R8" s="25">
        <f>SUM(R4:R7)</f>
        <v>0.32969999999999999</v>
      </c>
    </row>
    <row r="9" spans="1:18" ht="15.75" thickBot="1" x14ac:dyDescent="0.3">
      <c r="A9" s="22" t="s">
        <v>111</v>
      </c>
      <c r="B9" s="51"/>
      <c r="L9" s="26" t="s">
        <v>27</v>
      </c>
      <c r="N9" s="14" t="s">
        <v>28</v>
      </c>
      <c r="O9" s="27" t="s">
        <v>29</v>
      </c>
      <c r="P9" s="28">
        <v>0</v>
      </c>
      <c r="Q9" s="29"/>
      <c r="R9" s="30"/>
    </row>
    <row r="10" spans="1:18" ht="15.75" thickBot="1" x14ac:dyDescent="0.3">
      <c r="A10" s="22" t="s">
        <v>113</v>
      </c>
      <c r="C10" s="53"/>
      <c r="D10" s="54" t="s">
        <v>94</v>
      </c>
      <c r="E10" s="43" t="e">
        <f>IF(C10=9,B7/(C10*2),B9/(C10*2))</f>
        <v>#DIV/0!</v>
      </c>
      <c r="L10" s="21"/>
      <c r="N10" s="31" t="s">
        <v>30</v>
      </c>
      <c r="Q10" s="84" t="s">
        <v>31</v>
      </c>
      <c r="R10" s="85"/>
    </row>
    <row r="11" spans="1:18" ht="15.75" thickBot="1" x14ac:dyDescent="0.3">
      <c r="C11" s="55"/>
      <c r="D11" s="54" t="s">
        <v>93</v>
      </c>
      <c r="E11" s="44" t="e">
        <f>E10*24</f>
        <v>#DIV/0!</v>
      </c>
      <c r="L11" s="1" t="s">
        <v>5</v>
      </c>
      <c r="N11" s="31" t="s">
        <v>32</v>
      </c>
      <c r="Q11" s="32" t="s">
        <v>33</v>
      </c>
      <c r="R11" s="33">
        <f>658.77*9</f>
        <v>5928.93</v>
      </c>
    </row>
    <row r="12" spans="1:18" x14ac:dyDescent="0.25">
      <c r="C12" s="55"/>
      <c r="D12" s="56" t="s">
        <v>112</v>
      </c>
      <c r="E12" s="44" t="e">
        <f>IF(C10=9,B7,E11/11*9)</f>
        <v>#DIV/0!</v>
      </c>
      <c r="L12" s="6" t="s">
        <v>124</v>
      </c>
      <c r="N12" s="31" t="s">
        <v>34</v>
      </c>
      <c r="Q12" s="17" t="s">
        <v>35</v>
      </c>
      <c r="R12" s="34">
        <f>1082.35*9</f>
        <v>9741.15</v>
      </c>
    </row>
    <row r="13" spans="1:18" ht="15.75" thickBot="1" x14ac:dyDescent="0.3">
      <c r="A13" s="22" t="s">
        <v>70</v>
      </c>
      <c r="C13" s="47"/>
      <c r="K13" s="22" t="s">
        <v>76</v>
      </c>
      <c r="L13" s="13">
        <f>L14*9/12</f>
        <v>172660.5</v>
      </c>
      <c r="N13" s="31" t="s">
        <v>37</v>
      </c>
      <c r="Q13" s="17" t="s">
        <v>36</v>
      </c>
      <c r="R13" s="34">
        <f>1360.75*9</f>
        <v>12246.75</v>
      </c>
    </row>
    <row r="14" spans="1:18" ht="15.75" thickBot="1" x14ac:dyDescent="0.3">
      <c r="A14" s="22" t="s">
        <v>72</v>
      </c>
      <c r="C14" s="47"/>
      <c r="K14" s="22" t="s">
        <v>78</v>
      </c>
      <c r="L14" s="13">
        <f>L6*1.02</f>
        <v>230214</v>
      </c>
      <c r="N14" s="31" t="s">
        <v>39</v>
      </c>
      <c r="Q14" s="35"/>
      <c r="R14" s="36"/>
    </row>
    <row r="15" spans="1:18" ht="15.75" thickBot="1" x14ac:dyDescent="0.3">
      <c r="A15" s="22" t="s">
        <v>75</v>
      </c>
      <c r="C15" s="45" t="e">
        <f>VLOOKUP(C13,O3:P9,2,FALSE)</f>
        <v>#N/A</v>
      </c>
      <c r="L15" s="21" t="s">
        <v>126</v>
      </c>
      <c r="N15" s="31" t="s">
        <v>40</v>
      </c>
      <c r="Q15" s="24" t="s">
        <v>38</v>
      </c>
      <c r="R15" s="37">
        <f>1718*9</f>
        <v>15462</v>
      </c>
    </row>
    <row r="16" spans="1:18" x14ac:dyDescent="0.25">
      <c r="C16" s="57"/>
      <c r="G16"/>
      <c r="L16" s="21" t="s">
        <v>80</v>
      </c>
      <c r="N16" s="31" t="s">
        <v>41</v>
      </c>
      <c r="Q16" s="29"/>
      <c r="R16" s="38"/>
    </row>
    <row r="17" spans="1:18" x14ac:dyDescent="0.25">
      <c r="A17" s="22" t="s">
        <v>115</v>
      </c>
      <c r="D17" s="58"/>
      <c r="L17" s="21"/>
      <c r="M17" s="22">
        <v>1</v>
      </c>
      <c r="N17" s="31" t="s">
        <v>42</v>
      </c>
      <c r="R17" s="39"/>
    </row>
    <row r="18" spans="1:18" x14ac:dyDescent="0.25">
      <c r="C18" s="57"/>
      <c r="L18" s="21">
        <v>9</v>
      </c>
      <c r="M18" s="22">
        <v>2</v>
      </c>
      <c r="N18" s="31" t="s">
        <v>43</v>
      </c>
      <c r="R18" s="39"/>
    </row>
    <row r="19" spans="1:18" x14ac:dyDescent="0.25">
      <c r="C19" s="57"/>
      <c r="L19" s="21">
        <v>12</v>
      </c>
      <c r="M19" s="22">
        <v>3</v>
      </c>
      <c r="N19" s="31" t="s">
        <v>44</v>
      </c>
      <c r="R19" s="39"/>
    </row>
    <row r="20" spans="1:18" x14ac:dyDescent="0.25">
      <c r="L20" s="21"/>
      <c r="M20" s="22">
        <v>4</v>
      </c>
      <c r="N20" s="31" t="s">
        <v>45</v>
      </c>
      <c r="R20" s="39"/>
    </row>
    <row r="21" spans="1:18" ht="15" customHeight="1" x14ac:dyDescent="0.25">
      <c r="A21" s="22" t="s">
        <v>73</v>
      </c>
      <c r="C21" s="47"/>
      <c r="L21" s="21"/>
      <c r="M21" s="22">
        <v>5</v>
      </c>
      <c r="N21" s="31" t="s">
        <v>46</v>
      </c>
      <c r="R21" s="40"/>
    </row>
    <row r="22" spans="1:18" ht="27.75" customHeight="1" x14ac:dyDescent="0.25">
      <c r="A22" s="91" t="s">
        <v>116</v>
      </c>
      <c r="B22" s="91"/>
      <c r="C22" s="49"/>
      <c r="D22" s="92" t="s">
        <v>117</v>
      </c>
      <c r="E22" s="93"/>
      <c r="L22" s="42" t="s">
        <v>102</v>
      </c>
      <c r="M22" s="22">
        <v>6</v>
      </c>
      <c r="N22" s="31" t="s">
        <v>47</v>
      </c>
      <c r="R22" s="40"/>
    </row>
    <row r="23" spans="1:18" ht="15.75" thickBot="1" x14ac:dyDescent="0.3">
      <c r="A23" s="22" t="s">
        <v>74</v>
      </c>
      <c r="B23" s="59"/>
      <c r="C23" s="43" t="e">
        <f>IF(E11&lt;=L6,ROUND(C21*C15*E12,2),IF(D17="No NIH CAP",ROUND(C21*C15*E12,2),ROUND(L6*C15*C21*C10/12,2)))</f>
        <v>#DIV/0!</v>
      </c>
      <c r="D23" s="21"/>
      <c r="L23" s="42" t="s">
        <v>103</v>
      </c>
      <c r="N23" s="31" t="s">
        <v>48</v>
      </c>
      <c r="R23" s="40"/>
    </row>
    <row r="24" spans="1:18" ht="44.45" customHeight="1" thickBot="1" x14ac:dyDescent="0.3">
      <c r="A24" s="94" t="s">
        <v>118</v>
      </c>
      <c r="B24" s="95"/>
      <c r="C24" s="60"/>
      <c r="D24" s="74" t="s">
        <v>95</v>
      </c>
      <c r="L24" s="42" t="s">
        <v>104</v>
      </c>
      <c r="N24" s="31" t="s">
        <v>49</v>
      </c>
      <c r="R24" s="40"/>
    </row>
    <row r="25" spans="1:18" x14ac:dyDescent="0.25">
      <c r="B25" s="62" t="s">
        <v>82</v>
      </c>
      <c r="C25" s="63" t="s">
        <v>83</v>
      </c>
      <c r="D25" s="61" t="s">
        <v>96</v>
      </c>
      <c r="L25" s="42" t="s">
        <v>105</v>
      </c>
      <c r="N25" s="31" t="s">
        <v>50</v>
      </c>
      <c r="R25" s="40"/>
    </row>
    <row r="26" spans="1:18" x14ac:dyDescent="0.25">
      <c r="A26" s="22" t="s">
        <v>81</v>
      </c>
      <c r="B26" s="49"/>
      <c r="C26" s="65"/>
      <c r="D26" s="83">
        <f>IFERROR(E12*C15*C21-(C30+'Course Buyout Calc #2'!C30+'Course Buyout Calc #3'!C30+'Course Buyout Calc #4'!C30),0)</f>
        <v>0</v>
      </c>
      <c r="L26" s="42" t="s">
        <v>106</v>
      </c>
      <c r="N26" s="31" t="s">
        <v>51</v>
      </c>
      <c r="R26" s="40"/>
    </row>
    <row r="27" spans="1:18" x14ac:dyDescent="0.25">
      <c r="B27" s="49"/>
      <c r="C27" s="65"/>
      <c r="L27" s="42"/>
      <c r="N27" s="31" t="s">
        <v>52</v>
      </c>
      <c r="R27" s="40"/>
    </row>
    <row r="28" spans="1:18" x14ac:dyDescent="0.25">
      <c r="B28" s="49"/>
      <c r="C28" s="65"/>
      <c r="L28" s="42" t="s">
        <v>11</v>
      </c>
      <c r="N28" s="31" t="s">
        <v>53</v>
      </c>
      <c r="R28" s="40"/>
    </row>
    <row r="29" spans="1:18" x14ac:dyDescent="0.25">
      <c r="B29" s="49"/>
      <c r="C29" s="65"/>
      <c r="L29" s="42" t="s">
        <v>14</v>
      </c>
      <c r="N29" s="31" t="s">
        <v>54</v>
      </c>
      <c r="R29" s="40"/>
    </row>
    <row r="30" spans="1:18" x14ac:dyDescent="0.25">
      <c r="B30" s="66" t="s">
        <v>26</v>
      </c>
      <c r="C30" s="67">
        <f>SUM(C26:C29)</f>
        <v>0</v>
      </c>
      <c r="L30" s="21"/>
      <c r="N30" s="31" t="s">
        <v>55</v>
      </c>
      <c r="R30" s="40"/>
    </row>
    <row r="31" spans="1:18" ht="40.9" customHeight="1" x14ac:dyDescent="0.25">
      <c r="C31" s="69" t="e">
        <f>IF((C30+'Course Buyout Calc #2'!C30+'Course Buyout Calc #3'!C30+'Course Buyout Calc #4'!C30-C23)=0,"Fully Allocated","Allocation does not agree with Total Buyout")</f>
        <v>#DIV/0!</v>
      </c>
      <c r="D31" s="82"/>
      <c r="L31" s="21"/>
      <c r="N31" s="31" t="s">
        <v>56</v>
      </c>
      <c r="R31" s="40"/>
    </row>
    <row r="32" spans="1:18" x14ac:dyDescent="0.25">
      <c r="L32" s="21" t="s">
        <v>114</v>
      </c>
      <c r="N32" s="31" t="s">
        <v>57</v>
      </c>
      <c r="R32" s="40"/>
    </row>
    <row r="33" spans="1:18" ht="34.9" customHeight="1" x14ac:dyDescent="0.25">
      <c r="A33" s="22" t="s">
        <v>91</v>
      </c>
      <c r="B33" s="49"/>
      <c r="L33" s="21"/>
      <c r="N33" s="31" t="s">
        <v>58</v>
      </c>
      <c r="R33" s="40"/>
    </row>
    <row r="34" spans="1:18" x14ac:dyDescent="0.25">
      <c r="A34" s="22" t="s">
        <v>98</v>
      </c>
      <c r="B34" s="49"/>
      <c r="C34" s="89" t="s">
        <v>100</v>
      </c>
      <c r="D34" s="90"/>
      <c r="E34" s="90"/>
      <c r="F34" s="90"/>
      <c r="G34" s="90"/>
      <c r="H34" s="90"/>
      <c r="L34" s="21"/>
      <c r="N34" s="31" t="s">
        <v>59</v>
      </c>
      <c r="R34" s="40"/>
    </row>
    <row r="35" spans="1:18" x14ac:dyDescent="0.25">
      <c r="A35" s="22" t="s">
        <v>99</v>
      </c>
      <c r="B35" s="49"/>
      <c r="C35" s="89" t="s">
        <v>101</v>
      </c>
      <c r="D35" s="90"/>
      <c r="E35" s="90"/>
      <c r="F35" s="90"/>
      <c r="G35" s="90"/>
      <c r="H35" s="90"/>
      <c r="L35" s="21"/>
      <c r="N35" s="31" t="s">
        <v>60</v>
      </c>
      <c r="R35" s="40"/>
    </row>
    <row r="36" spans="1:18" x14ac:dyDescent="0.25">
      <c r="A36" s="22" t="s">
        <v>84</v>
      </c>
      <c r="B36" s="70">
        <f>IF(B35-B34&lt;0,"End date needs to be after start date",ROUND((B35-B34)/15.2,0))</f>
        <v>0</v>
      </c>
      <c r="L36" s="21"/>
      <c r="N36" s="31" t="s">
        <v>71</v>
      </c>
      <c r="R36" s="40"/>
    </row>
    <row r="37" spans="1:18" ht="15.75" thickBot="1" x14ac:dyDescent="0.3">
      <c r="L37" s="21"/>
      <c r="N37" s="31" t="s">
        <v>61</v>
      </c>
      <c r="R37" s="40"/>
    </row>
    <row r="38" spans="1:18" ht="32.25" thickBot="1" x14ac:dyDescent="0.55000000000000004">
      <c r="A38" s="86" t="s">
        <v>97</v>
      </c>
      <c r="B38" s="87"/>
      <c r="C38" s="87"/>
      <c r="D38" s="88"/>
      <c r="L38" s="21"/>
      <c r="N38" s="31" t="s">
        <v>62</v>
      </c>
      <c r="R38" s="40"/>
    </row>
    <row r="39" spans="1:18" x14ac:dyDescent="0.25">
      <c r="A39" s="75"/>
      <c r="B39" s="64" t="s">
        <v>82</v>
      </c>
      <c r="C39" s="64" t="s">
        <v>86</v>
      </c>
      <c r="D39" s="76" t="s">
        <v>92</v>
      </c>
      <c r="L39" s="21"/>
      <c r="N39" s="31" t="s">
        <v>63</v>
      </c>
      <c r="R39" s="40"/>
    </row>
    <row r="40" spans="1:18" x14ac:dyDescent="0.25">
      <c r="A40" s="77" t="s">
        <v>85</v>
      </c>
      <c r="B40" s="71">
        <f>B26</f>
        <v>0</v>
      </c>
      <c r="C40" s="46">
        <f>IF(B36=0,0,C26/B36)</f>
        <v>0</v>
      </c>
      <c r="D40" s="72">
        <f>C40*$C$10*2</f>
        <v>0</v>
      </c>
      <c r="L40" s="21"/>
      <c r="N40" s="31" t="s">
        <v>64</v>
      </c>
      <c r="R40" s="40"/>
    </row>
    <row r="41" spans="1:18" x14ac:dyDescent="0.25">
      <c r="A41" s="77" t="s">
        <v>85</v>
      </c>
      <c r="B41" s="71">
        <f>B27</f>
        <v>0</v>
      </c>
      <c r="C41" s="46">
        <f>IF(B36=0,0,C27/B36)</f>
        <v>0</v>
      </c>
      <c r="D41" s="72">
        <f t="shared" ref="D41:D43" si="0">C41*$C$10*2</f>
        <v>0</v>
      </c>
      <c r="L41" s="21"/>
      <c r="N41" s="31" t="s">
        <v>65</v>
      </c>
      <c r="R41" s="40"/>
    </row>
    <row r="42" spans="1:18" x14ac:dyDescent="0.25">
      <c r="A42" s="77" t="s">
        <v>85</v>
      </c>
      <c r="B42" s="71">
        <f>B28</f>
        <v>0</v>
      </c>
      <c r="C42" s="46">
        <f>IF(B36=0,0,C28/B36)</f>
        <v>0</v>
      </c>
      <c r="D42" s="72">
        <f t="shared" si="0"/>
        <v>0</v>
      </c>
      <c r="L42" s="21"/>
      <c r="N42" s="31" t="s">
        <v>66</v>
      </c>
      <c r="R42" s="40"/>
    </row>
    <row r="43" spans="1:18" x14ac:dyDescent="0.25">
      <c r="A43" s="77" t="s">
        <v>85</v>
      </c>
      <c r="B43" s="71">
        <f>B29</f>
        <v>0</v>
      </c>
      <c r="C43" s="46">
        <f>IF(B36=0,0,C29/B36)</f>
        <v>0</v>
      </c>
      <c r="D43" s="72">
        <f t="shared" si="0"/>
        <v>0</v>
      </c>
      <c r="L43" s="21"/>
      <c r="N43" s="31" t="s">
        <v>67</v>
      </c>
      <c r="R43" s="40"/>
    </row>
    <row r="44" spans="1:18" x14ac:dyDescent="0.25">
      <c r="A44" s="77"/>
      <c r="B44" s="66" t="s">
        <v>87</v>
      </c>
      <c r="D44" s="72">
        <f>D45-SUM(D40:D43)</f>
        <v>0</v>
      </c>
      <c r="L44" s="21"/>
      <c r="N44" s="31" t="s">
        <v>68</v>
      </c>
      <c r="R44" s="40"/>
    </row>
    <row r="45" spans="1:18" ht="15.75" thickBot="1" x14ac:dyDescent="0.3">
      <c r="A45" s="78"/>
      <c r="B45" s="80" t="s">
        <v>88</v>
      </c>
      <c r="C45" s="79"/>
      <c r="D45" s="73">
        <f>B9+B7</f>
        <v>0</v>
      </c>
      <c r="L45" s="21"/>
      <c r="N45" s="41" t="s">
        <v>69</v>
      </c>
      <c r="R45" s="40"/>
    </row>
    <row r="46" spans="1:18" x14ac:dyDescent="0.25">
      <c r="L46" s="21"/>
      <c r="R46" s="40"/>
    </row>
    <row r="47" spans="1:18" x14ac:dyDescent="0.25">
      <c r="L47" s="21"/>
      <c r="R47" s="40"/>
    </row>
    <row r="48" spans="1:18" x14ac:dyDescent="0.25">
      <c r="L48" s="21"/>
      <c r="R48" s="40"/>
    </row>
    <row r="49" spans="12:18" x14ac:dyDescent="0.25">
      <c r="L49" s="21"/>
      <c r="R49" s="40"/>
    </row>
    <row r="50" spans="12:18" x14ac:dyDescent="0.25">
      <c r="L50" s="21"/>
      <c r="R50" s="40"/>
    </row>
  </sheetData>
  <sheetProtection algorithmName="SHA-512" hashValue="iU0q5UWMNN/8DBEADYrVuB3V0Y6w/a/saU54bS2LVVDq5DfdL39eS9rQO4+YgI01qgxgR9sErqjO+LN6Bg9Iiw==" saltValue="JL+fp/XYAdzKIajudS/vQQ==" spinCount="100000" sheet="1" objects="1" scenarios="1" selectLockedCells="1"/>
  <mergeCells count="8">
    <mergeCell ref="Q3:R3"/>
    <mergeCell ref="Q10:R10"/>
    <mergeCell ref="A38:D38"/>
    <mergeCell ref="C34:H34"/>
    <mergeCell ref="C35:H35"/>
    <mergeCell ref="A22:B22"/>
    <mergeCell ref="D22:E22"/>
    <mergeCell ref="A24:B24"/>
  </mergeCells>
  <dataValidations count="9">
    <dataValidation type="list" allowBlank="1" showInputMessage="1" showErrorMessage="1" sqref="C13" xr:uid="{1021607A-A813-4F98-B1BD-6D89DDE4BFCF}">
      <formula1>$O$4:$O$8</formula1>
    </dataValidation>
    <dataValidation type="list" allowBlank="1" showInputMessage="1" showErrorMessage="1" sqref="C6" xr:uid="{9466CA88-15CA-4462-969C-63BEA5777B49}">
      <formula1>$N$4:$N$45</formula1>
    </dataValidation>
    <dataValidation type="list" allowBlank="1" showInputMessage="1" showErrorMessage="1" sqref="C14" xr:uid="{F9A19E2B-CB35-4FDB-8E7E-096EF4D1AC1D}">
      <formula1>$M$17:$M$20</formula1>
    </dataValidation>
    <dataValidation type="list" allowBlank="1" showInputMessage="1" showErrorMessage="1" sqref="C21" xr:uid="{E42D5796-A01B-4103-B9D3-D2C653C12B5B}">
      <formula1>$M$17:$M$22</formula1>
    </dataValidation>
    <dataValidation type="list" allowBlank="1" showInputMessage="1" showErrorMessage="1" sqref="C10" xr:uid="{A403897D-41CE-48E0-8D15-A7AA6CED4EA0}">
      <formula1>$L$18:$L$19</formula1>
    </dataValidation>
    <dataValidation type="list" allowBlank="1" showInputMessage="1" showErrorMessage="1" sqref="B33" xr:uid="{F9A36C49-F691-484B-809E-902A244AD11E}">
      <formula1>$M$4:$M$6</formula1>
    </dataValidation>
    <dataValidation type="list" allowBlank="1" showInputMessage="1" showErrorMessage="1" sqref="B1" xr:uid="{31598DD1-D949-4465-B779-0763C235151F}">
      <formula1>$L$22:$L$26</formula1>
    </dataValidation>
    <dataValidation type="list" allowBlank="1" showInputMessage="1" showErrorMessage="1" sqref="B2" xr:uid="{25F50AC0-6071-499D-8A74-2D9F3CAA5602}">
      <formula1>$L$28:$L$29</formula1>
    </dataValidation>
    <dataValidation type="list" allowBlank="1" showInputMessage="1" showErrorMessage="1" sqref="D17" xr:uid="{0F0F5650-F1B3-4992-97EA-6FD12CE4EDD2}">
      <formula1>$L$31:$L$32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C320-AB64-412A-81B7-E4BB61C9E015}">
  <dimension ref="A1:S50"/>
  <sheetViews>
    <sheetView topLeftCell="E1" zoomScale="90" zoomScaleNormal="90" workbookViewId="0">
      <selection activeCell="I1" sqref="I1:V1048576"/>
    </sheetView>
  </sheetViews>
  <sheetFormatPr defaultColWidth="8.85546875" defaultRowHeight="15" x14ac:dyDescent="0.25"/>
  <cols>
    <col min="1" max="1" width="39.28515625" style="22" customWidth="1"/>
    <col min="2" max="2" width="33.5703125" style="22" customWidth="1"/>
    <col min="3" max="3" width="19.85546875" style="21" customWidth="1"/>
    <col min="4" max="4" width="27.7109375" style="22" customWidth="1"/>
    <col min="5" max="5" width="21.5703125" style="22" customWidth="1"/>
    <col min="6" max="9" width="8.85546875" style="22"/>
    <col min="10" max="11" width="8.85546875" style="22" hidden="1" customWidth="1"/>
    <col min="12" max="12" width="30.42578125" style="22" hidden="1" customWidth="1"/>
    <col min="13" max="13" width="8.85546875" style="22" hidden="1" customWidth="1"/>
    <col min="14" max="14" width="27" style="22" hidden="1" customWidth="1"/>
    <col min="15" max="16" width="8.85546875" style="22" hidden="1" customWidth="1"/>
    <col min="17" max="17" width="28.7109375" style="22" hidden="1" customWidth="1"/>
    <col min="18" max="18" width="10.5703125" style="22" hidden="1" customWidth="1"/>
    <col min="19" max="19" width="8.85546875" style="22" hidden="1" customWidth="1"/>
    <col min="20" max="21" width="0" style="22" hidden="1" customWidth="1"/>
    <col min="22" max="16384" width="8.85546875" style="22"/>
  </cols>
  <sheetData>
    <row r="1" spans="1:18" x14ac:dyDescent="0.25">
      <c r="A1" s="22" t="s">
        <v>107</v>
      </c>
      <c r="B1" s="47"/>
    </row>
    <row r="2" spans="1:18" ht="15.75" thickBot="1" x14ac:dyDescent="0.3">
      <c r="A2" s="22" t="s">
        <v>108</v>
      </c>
      <c r="B2" s="47"/>
    </row>
    <row r="3" spans="1:18" ht="15.75" thickBot="1" x14ac:dyDescent="0.3">
      <c r="A3" s="22" t="s">
        <v>89</v>
      </c>
      <c r="C3" s="48">
        <f>'Course Buyout Calc #1'!C3</f>
        <v>0</v>
      </c>
      <c r="D3" s="22" t="s">
        <v>90</v>
      </c>
      <c r="E3" s="49">
        <f>'Course Buyout Calc #1'!E3</f>
        <v>0</v>
      </c>
      <c r="L3" s="1" t="s">
        <v>5</v>
      </c>
      <c r="M3" s="2" t="s">
        <v>6</v>
      </c>
      <c r="N3" s="3" t="s">
        <v>7</v>
      </c>
      <c r="O3" s="4" t="s">
        <v>8</v>
      </c>
      <c r="P3" s="5" t="s">
        <v>9</v>
      </c>
      <c r="Q3" s="84" t="s">
        <v>10</v>
      </c>
      <c r="R3" s="85"/>
    </row>
    <row r="4" spans="1:18" x14ac:dyDescent="0.25">
      <c r="A4" s="50" t="s">
        <v>0</v>
      </c>
      <c r="B4" s="50"/>
      <c r="C4" s="47">
        <f>'Course Buyout Calc #1'!C4</f>
        <v>0</v>
      </c>
      <c r="L4" s="6" t="s">
        <v>123</v>
      </c>
      <c r="M4" s="7" t="s">
        <v>11</v>
      </c>
      <c r="N4" s="8" t="s">
        <v>12</v>
      </c>
      <c r="O4" s="9" t="s">
        <v>2</v>
      </c>
      <c r="P4" s="10">
        <v>0.2</v>
      </c>
      <c r="Q4" s="11" t="s">
        <v>13</v>
      </c>
      <c r="R4" s="12">
        <v>0.24909999999999999</v>
      </c>
    </row>
    <row r="5" spans="1:18" ht="15.75" thickBot="1" x14ac:dyDescent="0.3">
      <c r="A5" s="50" t="s">
        <v>1</v>
      </c>
      <c r="B5" s="50"/>
      <c r="C5" s="47">
        <f>'Course Buyout Calc #1'!C5</f>
        <v>0</v>
      </c>
      <c r="K5" s="22" t="s">
        <v>76</v>
      </c>
      <c r="L5" s="13">
        <f>L6*9/12</f>
        <v>169275</v>
      </c>
      <c r="M5" s="7" t="s">
        <v>14</v>
      </c>
      <c r="N5" s="14" t="s">
        <v>15</v>
      </c>
      <c r="O5" s="15" t="s">
        <v>16</v>
      </c>
      <c r="P5" s="16">
        <v>0.13300000000000001</v>
      </c>
      <c r="Q5" s="17" t="s">
        <v>17</v>
      </c>
      <c r="R5" s="18">
        <v>7.6499999999999999E-2</v>
      </c>
    </row>
    <row r="6" spans="1:18" ht="15.75" thickBot="1" x14ac:dyDescent="0.3">
      <c r="A6" s="22" t="s">
        <v>7</v>
      </c>
      <c r="C6" s="47"/>
      <c r="K6" s="22" t="s">
        <v>77</v>
      </c>
      <c r="L6" s="13">
        <v>225700</v>
      </c>
      <c r="M6" s="19" t="s">
        <v>18</v>
      </c>
      <c r="N6" s="14" t="s">
        <v>19</v>
      </c>
      <c r="O6" s="15" t="s">
        <v>3</v>
      </c>
      <c r="P6" s="20">
        <v>0.1</v>
      </c>
      <c r="Q6" s="17" t="s">
        <v>20</v>
      </c>
      <c r="R6" s="18">
        <v>1E-4</v>
      </c>
    </row>
    <row r="7" spans="1:18" ht="15.75" thickBot="1" x14ac:dyDescent="0.3">
      <c r="A7" s="22" t="s">
        <v>110</v>
      </c>
      <c r="B7" s="51">
        <f>'Course Buyout Calc #1'!B7</f>
        <v>0</v>
      </c>
      <c r="L7" s="21"/>
      <c r="N7" s="14" t="s">
        <v>21</v>
      </c>
      <c r="O7" s="15" t="s">
        <v>22</v>
      </c>
      <c r="P7" s="20">
        <v>0.08</v>
      </c>
      <c r="Q7" s="17" t="s">
        <v>23</v>
      </c>
      <c r="R7" s="18">
        <v>4.0000000000000001E-3</v>
      </c>
    </row>
    <row r="8" spans="1:18" ht="15.75" thickBot="1" x14ac:dyDescent="0.3">
      <c r="B8" s="52" t="s">
        <v>109</v>
      </c>
      <c r="L8" s="23" t="s">
        <v>24</v>
      </c>
      <c r="N8" s="14" t="s">
        <v>25</v>
      </c>
      <c r="O8" s="15" t="s">
        <v>4</v>
      </c>
      <c r="P8" s="16">
        <v>6.7000000000000004E-2</v>
      </c>
      <c r="Q8" s="24" t="s">
        <v>26</v>
      </c>
      <c r="R8" s="25">
        <f>SUM(R4:R7)</f>
        <v>0.32969999999999999</v>
      </c>
    </row>
    <row r="9" spans="1:18" ht="15.75" thickBot="1" x14ac:dyDescent="0.3">
      <c r="A9" s="22" t="s">
        <v>111</v>
      </c>
      <c r="B9" s="51">
        <f>'Course Buyout Calc #1'!B9</f>
        <v>0</v>
      </c>
      <c r="L9" s="26" t="s">
        <v>27</v>
      </c>
      <c r="N9" s="14" t="s">
        <v>28</v>
      </c>
      <c r="O9" s="27" t="s">
        <v>29</v>
      </c>
      <c r="P9" s="28">
        <v>0</v>
      </c>
      <c r="Q9" s="29"/>
      <c r="R9" s="30"/>
    </row>
    <row r="10" spans="1:18" ht="15.75" thickBot="1" x14ac:dyDescent="0.3">
      <c r="A10" s="22" t="s">
        <v>113</v>
      </c>
      <c r="C10" s="53"/>
      <c r="D10" s="54" t="s">
        <v>94</v>
      </c>
      <c r="E10" s="43" t="e">
        <f>IF(C10=9,B7/(C10*2),B9/(C10*2))</f>
        <v>#DIV/0!</v>
      </c>
      <c r="L10" s="21"/>
      <c r="N10" s="31" t="s">
        <v>30</v>
      </c>
      <c r="Q10" s="84" t="s">
        <v>31</v>
      </c>
      <c r="R10" s="85"/>
    </row>
    <row r="11" spans="1:18" ht="15.75" thickBot="1" x14ac:dyDescent="0.3">
      <c r="C11" s="55"/>
      <c r="D11" s="54" t="s">
        <v>93</v>
      </c>
      <c r="E11" s="44" t="e">
        <f>E10*24</f>
        <v>#DIV/0!</v>
      </c>
      <c r="L11" s="1" t="s">
        <v>5</v>
      </c>
      <c r="N11" s="31" t="s">
        <v>32</v>
      </c>
      <c r="Q11" s="32" t="s">
        <v>33</v>
      </c>
      <c r="R11" s="33">
        <f>658.77*9</f>
        <v>5928.93</v>
      </c>
    </row>
    <row r="12" spans="1:18" x14ac:dyDescent="0.25">
      <c r="C12" s="55"/>
      <c r="D12" s="56" t="s">
        <v>112</v>
      </c>
      <c r="E12" s="44" t="e">
        <f>IF(C10=9,B7,E11/11*9)</f>
        <v>#DIV/0!</v>
      </c>
      <c r="L12" s="6" t="s">
        <v>124</v>
      </c>
      <c r="N12" s="31" t="s">
        <v>34</v>
      </c>
      <c r="Q12" s="17" t="s">
        <v>35</v>
      </c>
      <c r="R12" s="34">
        <f>1082.35*9</f>
        <v>9741.15</v>
      </c>
    </row>
    <row r="13" spans="1:18" ht="15.75" thickBot="1" x14ac:dyDescent="0.3">
      <c r="A13" s="22" t="s">
        <v>70</v>
      </c>
      <c r="C13" s="47"/>
      <c r="K13" s="22" t="s">
        <v>76</v>
      </c>
      <c r="L13" s="13">
        <f>L14*9/12</f>
        <v>172660.5</v>
      </c>
      <c r="N13" s="31" t="s">
        <v>37</v>
      </c>
      <c r="Q13" s="17" t="s">
        <v>36</v>
      </c>
      <c r="R13" s="34">
        <f>1360.75*9</f>
        <v>12246.75</v>
      </c>
    </row>
    <row r="14" spans="1:18" ht="15.75" thickBot="1" x14ac:dyDescent="0.3">
      <c r="A14" s="22" t="s">
        <v>72</v>
      </c>
      <c r="C14" s="47"/>
      <c r="K14" s="22" t="s">
        <v>78</v>
      </c>
      <c r="L14" s="13">
        <f>L6*1.02</f>
        <v>230214</v>
      </c>
      <c r="N14" s="31" t="s">
        <v>39</v>
      </c>
      <c r="Q14" s="35"/>
      <c r="R14" s="36"/>
    </row>
    <row r="15" spans="1:18" ht="15.75" thickBot="1" x14ac:dyDescent="0.3">
      <c r="A15" s="22" t="s">
        <v>75</v>
      </c>
      <c r="C15" s="45" t="e">
        <f>VLOOKUP(C13,O3:P9,2,FALSE)</f>
        <v>#N/A</v>
      </c>
      <c r="L15" s="21" t="s">
        <v>79</v>
      </c>
      <c r="N15" s="31" t="s">
        <v>40</v>
      </c>
      <c r="Q15" s="24" t="s">
        <v>38</v>
      </c>
      <c r="R15" s="37">
        <f>1718*9</f>
        <v>15462</v>
      </c>
    </row>
    <row r="16" spans="1:18" x14ac:dyDescent="0.25">
      <c r="C16" s="57"/>
      <c r="L16" s="21" t="s">
        <v>80</v>
      </c>
      <c r="N16" s="31" t="s">
        <v>41</v>
      </c>
      <c r="Q16" s="29"/>
      <c r="R16" s="38"/>
    </row>
    <row r="17" spans="1:18" x14ac:dyDescent="0.25">
      <c r="A17" s="22" t="s">
        <v>115</v>
      </c>
      <c r="D17" s="58"/>
      <c r="L17" s="21"/>
      <c r="M17" s="22">
        <v>1</v>
      </c>
      <c r="N17" s="31" t="s">
        <v>42</v>
      </c>
      <c r="R17" s="39"/>
    </row>
    <row r="18" spans="1:18" x14ac:dyDescent="0.25">
      <c r="C18" s="57"/>
      <c r="L18" s="21">
        <v>9</v>
      </c>
      <c r="M18" s="22">
        <v>2</v>
      </c>
      <c r="N18" s="31" t="s">
        <v>43</v>
      </c>
      <c r="R18" s="39"/>
    </row>
    <row r="19" spans="1:18" x14ac:dyDescent="0.25">
      <c r="C19" s="57"/>
      <c r="L19" s="21">
        <v>12</v>
      </c>
      <c r="M19" s="22">
        <v>3</v>
      </c>
      <c r="N19" s="31" t="s">
        <v>44</v>
      </c>
      <c r="R19" s="39"/>
    </row>
    <row r="20" spans="1:18" x14ac:dyDescent="0.25">
      <c r="L20" s="21"/>
      <c r="M20" s="22">
        <v>4</v>
      </c>
      <c r="N20" s="31" t="s">
        <v>45</v>
      </c>
      <c r="R20" s="39"/>
    </row>
    <row r="21" spans="1:18" x14ac:dyDescent="0.25">
      <c r="A21" s="22" t="s">
        <v>73</v>
      </c>
      <c r="C21" s="47"/>
      <c r="L21" s="21"/>
      <c r="M21" s="22">
        <v>5</v>
      </c>
      <c r="N21" s="31" t="s">
        <v>46</v>
      </c>
      <c r="R21" s="40"/>
    </row>
    <row r="22" spans="1:18" ht="27.75" customHeight="1" x14ac:dyDescent="0.25">
      <c r="A22" s="91" t="s">
        <v>116</v>
      </c>
      <c r="B22" s="91"/>
      <c r="C22" s="49"/>
      <c r="D22" s="96" t="s">
        <v>117</v>
      </c>
      <c r="E22" s="96"/>
      <c r="L22" s="42" t="s">
        <v>102</v>
      </c>
      <c r="M22" s="22">
        <v>6</v>
      </c>
      <c r="N22" s="31" t="s">
        <v>47</v>
      </c>
      <c r="R22" s="40"/>
    </row>
    <row r="23" spans="1:18" ht="15.75" thickBot="1" x14ac:dyDescent="0.3">
      <c r="A23" s="22" t="s">
        <v>74</v>
      </c>
      <c r="B23" s="59"/>
      <c r="C23" s="43" t="e">
        <f>IF(E11&lt;=L6,ROUND(C21*C15*E12,2),IF(D17="No NIH CAP",ROUND(C21*C15*E12,2),ROUND(L6*C15*C21*C10/12,2)))</f>
        <v>#DIV/0!</v>
      </c>
      <c r="D23" s="21"/>
      <c r="L23" s="42" t="s">
        <v>103</v>
      </c>
      <c r="N23" s="31" t="s">
        <v>48</v>
      </c>
      <c r="R23" s="40"/>
    </row>
    <row r="24" spans="1:18" ht="44.45" customHeight="1" thickBot="1" x14ac:dyDescent="0.3">
      <c r="A24" s="94" t="s">
        <v>118</v>
      </c>
      <c r="B24" s="95"/>
      <c r="C24" s="60"/>
      <c r="D24" s="74" t="s">
        <v>95</v>
      </c>
      <c r="L24" s="42" t="s">
        <v>104</v>
      </c>
      <c r="N24" s="31" t="s">
        <v>49</v>
      </c>
      <c r="R24" s="40"/>
    </row>
    <row r="25" spans="1:18" x14ac:dyDescent="0.25">
      <c r="B25" s="62" t="s">
        <v>82</v>
      </c>
      <c r="C25" s="63" t="s">
        <v>83</v>
      </c>
      <c r="D25" s="61" t="s">
        <v>96</v>
      </c>
      <c r="L25" s="42" t="s">
        <v>105</v>
      </c>
      <c r="N25" s="31" t="s">
        <v>50</v>
      </c>
      <c r="R25" s="40"/>
    </row>
    <row r="26" spans="1:18" x14ac:dyDescent="0.25">
      <c r="A26" s="22" t="s">
        <v>81</v>
      </c>
      <c r="B26" s="49"/>
      <c r="C26" s="65"/>
      <c r="D26" s="68">
        <f>IFERROR(E12*C15*C21-(C30+'Course Buyout Calc #1'!C30+'Course Buyout Calc #3'!C30+'Course Buyout Calc #4'!C30),0)</f>
        <v>0</v>
      </c>
      <c r="L26" s="42" t="s">
        <v>106</v>
      </c>
      <c r="N26" s="31" t="s">
        <v>51</v>
      </c>
      <c r="R26" s="40"/>
    </row>
    <row r="27" spans="1:18" x14ac:dyDescent="0.25">
      <c r="B27" s="49"/>
      <c r="C27" s="65"/>
      <c r="L27" s="42"/>
      <c r="N27" s="31" t="s">
        <v>52</v>
      </c>
      <c r="R27" s="40"/>
    </row>
    <row r="28" spans="1:18" x14ac:dyDescent="0.25">
      <c r="B28" s="49"/>
      <c r="C28" s="65"/>
      <c r="L28" s="42" t="s">
        <v>11</v>
      </c>
      <c r="N28" s="31" t="s">
        <v>53</v>
      </c>
      <c r="R28" s="40"/>
    </row>
    <row r="29" spans="1:18" x14ac:dyDescent="0.25">
      <c r="B29" s="49"/>
      <c r="C29" s="65"/>
      <c r="L29" s="42" t="s">
        <v>14</v>
      </c>
      <c r="N29" s="31" t="s">
        <v>54</v>
      </c>
      <c r="R29" s="40"/>
    </row>
    <row r="30" spans="1:18" x14ac:dyDescent="0.25">
      <c r="B30" s="66" t="s">
        <v>26</v>
      </c>
      <c r="C30" s="67">
        <f>SUM(C26:C29)</f>
        <v>0</v>
      </c>
      <c r="L30" s="21"/>
      <c r="N30" s="31" t="s">
        <v>55</v>
      </c>
      <c r="R30" s="40"/>
    </row>
    <row r="31" spans="1:18" ht="40.9" customHeight="1" x14ac:dyDescent="0.25">
      <c r="C31" s="69" t="e">
        <f>IF((C30+'Course Buyout Calc #1'!C30+'Course Buyout Calc #3'!C30+'Course Buyout Calc #4'!C30-C23)=0,"Fully Allocated","Allocation does not agree with Total Buyout")</f>
        <v>#DIV/0!</v>
      </c>
      <c r="L31" s="21"/>
      <c r="N31" s="31" t="s">
        <v>56</v>
      </c>
      <c r="R31" s="40"/>
    </row>
    <row r="32" spans="1:18" x14ac:dyDescent="0.25">
      <c r="L32" s="21" t="s">
        <v>114</v>
      </c>
      <c r="N32" s="31" t="s">
        <v>57</v>
      </c>
      <c r="R32" s="40"/>
    </row>
    <row r="33" spans="1:18" ht="34.9" customHeight="1" x14ac:dyDescent="0.25">
      <c r="A33" s="22" t="s">
        <v>91</v>
      </c>
      <c r="B33" s="49"/>
      <c r="L33" s="21"/>
      <c r="N33" s="31" t="s">
        <v>58</v>
      </c>
      <c r="R33" s="40"/>
    </row>
    <row r="34" spans="1:18" x14ac:dyDescent="0.25">
      <c r="A34" s="22" t="s">
        <v>98</v>
      </c>
      <c r="B34" s="49"/>
      <c r="C34" s="89" t="s">
        <v>100</v>
      </c>
      <c r="D34" s="90"/>
      <c r="E34" s="90"/>
      <c r="F34" s="90"/>
      <c r="G34" s="90"/>
      <c r="H34" s="90"/>
      <c r="L34" s="21"/>
      <c r="N34" s="31" t="s">
        <v>59</v>
      </c>
      <c r="R34" s="40"/>
    </row>
    <row r="35" spans="1:18" x14ac:dyDescent="0.25">
      <c r="A35" s="22" t="s">
        <v>99</v>
      </c>
      <c r="B35" s="49"/>
      <c r="C35" s="89" t="s">
        <v>101</v>
      </c>
      <c r="D35" s="90"/>
      <c r="E35" s="90"/>
      <c r="F35" s="90"/>
      <c r="G35" s="90"/>
      <c r="H35" s="90"/>
      <c r="L35" s="21"/>
      <c r="N35" s="31" t="s">
        <v>60</v>
      </c>
      <c r="R35" s="40"/>
    </row>
    <row r="36" spans="1:18" x14ac:dyDescent="0.25">
      <c r="A36" s="22" t="s">
        <v>84</v>
      </c>
      <c r="B36" s="70">
        <f>IF(B35-B34&lt;0,"End date needs to be after start date",ROUND((B35-B34)/15.2,0))</f>
        <v>0</v>
      </c>
      <c r="L36" s="21"/>
      <c r="N36" s="31" t="s">
        <v>71</v>
      </c>
      <c r="R36" s="40"/>
    </row>
    <row r="37" spans="1:18" ht="15.75" thickBot="1" x14ac:dyDescent="0.3">
      <c r="L37" s="21"/>
      <c r="N37" s="31" t="s">
        <v>61</v>
      </c>
      <c r="R37" s="40"/>
    </row>
    <row r="38" spans="1:18" ht="32.25" thickBot="1" x14ac:dyDescent="0.55000000000000004">
      <c r="A38" s="86" t="s">
        <v>97</v>
      </c>
      <c r="B38" s="87"/>
      <c r="C38" s="87"/>
      <c r="D38" s="88"/>
      <c r="L38" s="21"/>
      <c r="N38" s="31" t="s">
        <v>62</v>
      </c>
      <c r="R38" s="40"/>
    </row>
    <row r="39" spans="1:18" x14ac:dyDescent="0.25">
      <c r="A39" s="75"/>
      <c r="B39" s="64" t="s">
        <v>82</v>
      </c>
      <c r="C39" s="64" t="s">
        <v>86</v>
      </c>
      <c r="D39" s="76" t="s">
        <v>92</v>
      </c>
      <c r="L39" s="21"/>
      <c r="N39" s="31" t="s">
        <v>63</v>
      </c>
      <c r="R39" s="40"/>
    </row>
    <row r="40" spans="1:18" x14ac:dyDescent="0.25">
      <c r="A40" s="77" t="s">
        <v>85</v>
      </c>
      <c r="B40" s="71">
        <f>B26</f>
        <v>0</v>
      </c>
      <c r="C40" s="46">
        <f>IF(B36=0,0,C26/B36)</f>
        <v>0</v>
      </c>
      <c r="D40" s="72">
        <f>C40*$C$10*2</f>
        <v>0</v>
      </c>
      <c r="L40" s="21"/>
      <c r="N40" s="31" t="s">
        <v>64</v>
      </c>
      <c r="R40" s="40"/>
    </row>
    <row r="41" spans="1:18" x14ac:dyDescent="0.25">
      <c r="A41" s="77" t="s">
        <v>85</v>
      </c>
      <c r="B41" s="71">
        <f>B27</f>
        <v>0</v>
      </c>
      <c r="C41" s="46">
        <f>IF(B36=0,0,C27/B36)</f>
        <v>0</v>
      </c>
      <c r="D41" s="72">
        <f t="shared" ref="D41:D43" si="0">C41*$C$10*2</f>
        <v>0</v>
      </c>
      <c r="L41" s="21"/>
      <c r="N41" s="31" t="s">
        <v>65</v>
      </c>
      <c r="R41" s="40"/>
    </row>
    <row r="42" spans="1:18" x14ac:dyDescent="0.25">
      <c r="A42" s="77" t="s">
        <v>85</v>
      </c>
      <c r="B42" s="71">
        <f>B28</f>
        <v>0</v>
      </c>
      <c r="C42" s="46">
        <f>IF(B36=0,0,C28/B36)</f>
        <v>0</v>
      </c>
      <c r="D42" s="72">
        <f t="shared" si="0"/>
        <v>0</v>
      </c>
      <c r="L42" s="21"/>
      <c r="N42" s="31" t="s">
        <v>66</v>
      </c>
      <c r="R42" s="40"/>
    </row>
    <row r="43" spans="1:18" x14ac:dyDescent="0.25">
      <c r="A43" s="77" t="s">
        <v>85</v>
      </c>
      <c r="B43" s="71">
        <f>B29</f>
        <v>0</v>
      </c>
      <c r="C43" s="46">
        <f>IF(B36=0,0,C29/B36)</f>
        <v>0</v>
      </c>
      <c r="D43" s="72">
        <f t="shared" si="0"/>
        <v>0</v>
      </c>
      <c r="L43" s="21"/>
      <c r="N43" s="31" t="s">
        <v>67</v>
      </c>
      <c r="R43" s="40"/>
    </row>
    <row r="44" spans="1:18" x14ac:dyDescent="0.25">
      <c r="A44" s="77"/>
      <c r="B44" s="66" t="s">
        <v>87</v>
      </c>
      <c r="D44" s="72">
        <f>D45-SUM(D40:D43)</f>
        <v>0</v>
      </c>
      <c r="L44" s="21"/>
      <c r="N44" s="31" t="s">
        <v>68</v>
      </c>
      <c r="R44" s="40"/>
    </row>
    <row r="45" spans="1:18" ht="15.75" thickBot="1" x14ac:dyDescent="0.3">
      <c r="A45" s="78"/>
      <c r="B45" s="80" t="s">
        <v>88</v>
      </c>
      <c r="C45" s="79"/>
      <c r="D45" s="73">
        <f>B9+B7</f>
        <v>0</v>
      </c>
      <c r="L45" s="21"/>
      <c r="N45" s="41" t="s">
        <v>69</v>
      </c>
      <c r="R45" s="40"/>
    </row>
    <row r="46" spans="1:18" x14ac:dyDescent="0.25">
      <c r="L46" s="21"/>
      <c r="R46" s="40"/>
    </row>
    <row r="47" spans="1:18" x14ac:dyDescent="0.25">
      <c r="L47" s="21"/>
      <c r="R47" s="40"/>
    </row>
    <row r="48" spans="1:18" x14ac:dyDescent="0.25">
      <c r="L48" s="21"/>
      <c r="R48" s="40"/>
    </row>
    <row r="49" spans="12:18" x14ac:dyDescent="0.25">
      <c r="L49" s="21"/>
      <c r="R49" s="40"/>
    </row>
    <row r="50" spans="12:18" x14ac:dyDescent="0.25">
      <c r="L50" s="21"/>
      <c r="R50" s="40"/>
    </row>
  </sheetData>
  <sheetProtection algorithmName="SHA-512" hashValue="yoklKAvFuGDdQ29aU8eZOSTvCZQ+Ar8MkSIM8II92oamPTRZlW8C0bPLZ1WpLr3eL5n1yxWam5oIvUfaQR3mFA==" saltValue="700brnJSgdJR6tYIWXEYmQ==" spinCount="100000" sheet="1" objects="1" scenarios="1" selectLockedCells="1"/>
  <mergeCells count="8">
    <mergeCell ref="C35:H35"/>
    <mergeCell ref="A38:D38"/>
    <mergeCell ref="Q3:R3"/>
    <mergeCell ref="Q10:R10"/>
    <mergeCell ref="A22:B22"/>
    <mergeCell ref="D22:E22"/>
    <mergeCell ref="A24:B24"/>
    <mergeCell ref="C34:H34"/>
  </mergeCells>
  <dataValidations count="9">
    <dataValidation type="list" allowBlank="1" showInputMessage="1" showErrorMessage="1" sqref="D17" xr:uid="{52944808-7E26-4E91-9262-94A974EC2553}">
      <formula1>$L$31:$L$32</formula1>
    </dataValidation>
    <dataValidation type="list" allowBlank="1" showInputMessage="1" showErrorMessage="1" sqref="B2" xr:uid="{869C53C9-620E-4731-8629-8722968CA2B0}">
      <formula1>$L$28:$L$29</formula1>
    </dataValidation>
    <dataValidation type="list" allowBlank="1" showInputMessage="1" showErrorMessage="1" sqref="B1" xr:uid="{68111C21-6EE6-43ED-BE52-0D6F95B16C6B}">
      <formula1>$L$22:$L$26</formula1>
    </dataValidation>
    <dataValidation type="list" allowBlank="1" showInputMessage="1" showErrorMessage="1" sqref="B33" xr:uid="{D4BA20D7-64B8-4FD1-B763-2D8149AEAE7F}">
      <formula1>$M$4:$M$6</formula1>
    </dataValidation>
    <dataValidation type="list" allowBlank="1" showInputMessage="1" showErrorMessage="1" sqref="C10" xr:uid="{C3AAD604-157B-4505-BE76-2961CDB8E11C}">
      <formula1>$L$18:$L$19</formula1>
    </dataValidation>
    <dataValidation type="list" allowBlank="1" showInputMessage="1" showErrorMessage="1" sqref="C21" xr:uid="{2CF43539-8FD9-4186-863E-FFE45A8F84B7}">
      <formula1>$M$17:$M$22</formula1>
    </dataValidation>
    <dataValidation type="list" allowBlank="1" showInputMessage="1" showErrorMessage="1" sqref="C14" xr:uid="{9D57A3B0-D29A-4334-B5C6-91F0ED633CC0}">
      <formula1>$M$17:$M$20</formula1>
    </dataValidation>
    <dataValidation type="list" allowBlank="1" showInputMessage="1" showErrorMessage="1" sqref="C6" xr:uid="{57F74A99-395A-412C-B523-899EA7A3616C}">
      <formula1>$N$4:$N$45</formula1>
    </dataValidation>
    <dataValidation type="list" allowBlank="1" showInputMessage="1" showErrorMessage="1" sqref="C13" xr:uid="{4331D5F2-4DBF-4171-9596-8FB1E9E93409}">
      <formula1>$O$4:$O$8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70866-2C78-4056-96E0-450C806C1A78}">
  <dimension ref="A1:S50"/>
  <sheetViews>
    <sheetView zoomScale="90" zoomScaleNormal="90" workbookViewId="0">
      <selection activeCell="J1" sqref="J1:S1048576"/>
    </sheetView>
  </sheetViews>
  <sheetFormatPr defaultColWidth="8.85546875" defaultRowHeight="15" x14ac:dyDescent="0.25"/>
  <cols>
    <col min="1" max="1" width="39.28515625" style="22" customWidth="1"/>
    <col min="2" max="2" width="33.5703125" style="22" customWidth="1"/>
    <col min="3" max="3" width="20" style="21" customWidth="1"/>
    <col min="4" max="4" width="27.7109375" style="22" customWidth="1"/>
    <col min="5" max="5" width="21.5703125" style="22" customWidth="1"/>
    <col min="6" max="9" width="8.85546875" style="22"/>
    <col min="10" max="11" width="8.85546875" style="22" hidden="1" customWidth="1"/>
    <col min="12" max="12" width="30.28515625" style="22" hidden="1" customWidth="1"/>
    <col min="13" max="13" width="8.85546875" style="22" hidden="1" customWidth="1"/>
    <col min="14" max="14" width="27" style="22" hidden="1" customWidth="1"/>
    <col min="15" max="16" width="8.85546875" style="22" hidden="1" customWidth="1"/>
    <col min="17" max="17" width="28.7109375" style="22" hidden="1" customWidth="1"/>
    <col min="18" max="18" width="10.5703125" style="22" hidden="1" customWidth="1"/>
    <col min="19" max="19" width="8.85546875" style="22" hidden="1" customWidth="1"/>
    <col min="20" max="16384" width="8.85546875" style="22"/>
  </cols>
  <sheetData>
    <row r="1" spans="1:18" x14ac:dyDescent="0.25">
      <c r="A1" s="22" t="s">
        <v>107</v>
      </c>
      <c r="B1" s="47"/>
    </row>
    <row r="2" spans="1:18" ht="15.75" thickBot="1" x14ac:dyDescent="0.3">
      <c r="A2" s="22" t="s">
        <v>108</v>
      </c>
      <c r="B2" s="47"/>
    </row>
    <row r="3" spans="1:18" ht="15.75" thickBot="1" x14ac:dyDescent="0.3">
      <c r="A3" s="22" t="s">
        <v>89</v>
      </c>
      <c r="C3" s="48">
        <f>'Course Buyout Calc #1'!C3</f>
        <v>0</v>
      </c>
      <c r="D3" s="22" t="s">
        <v>90</v>
      </c>
      <c r="E3" s="49">
        <f>'Course Buyout Calc #1'!E3</f>
        <v>0</v>
      </c>
      <c r="L3" s="1" t="s">
        <v>5</v>
      </c>
      <c r="M3" s="2" t="s">
        <v>6</v>
      </c>
      <c r="N3" s="3" t="s">
        <v>7</v>
      </c>
      <c r="O3" s="4" t="s">
        <v>8</v>
      </c>
      <c r="P3" s="5" t="s">
        <v>9</v>
      </c>
      <c r="Q3" s="84" t="s">
        <v>10</v>
      </c>
      <c r="R3" s="85"/>
    </row>
    <row r="4" spans="1:18" x14ac:dyDescent="0.25">
      <c r="A4" s="50" t="s">
        <v>0</v>
      </c>
      <c r="B4" s="50"/>
      <c r="C4" s="47">
        <f>'Course Buyout Calc #1'!C4</f>
        <v>0</v>
      </c>
      <c r="L4" s="6" t="s">
        <v>123</v>
      </c>
      <c r="M4" s="7" t="s">
        <v>11</v>
      </c>
      <c r="N4" s="8" t="s">
        <v>12</v>
      </c>
      <c r="O4" s="9" t="s">
        <v>2</v>
      </c>
      <c r="P4" s="10">
        <v>0.2</v>
      </c>
      <c r="Q4" s="11" t="s">
        <v>13</v>
      </c>
      <c r="R4" s="12">
        <v>0.24909999999999999</v>
      </c>
    </row>
    <row r="5" spans="1:18" ht="15.75" thickBot="1" x14ac:dyDescent="0.3">
      <c r="A5" s="50" t="s">
        <v>1</v>
      </c>
      <c r="B5" s="50"/>
      <c r="C5" s="47">
        <f>'Course Buyout Calc #1'!C5</f>
        <v>0</v>
      </c>
      <c r="K5" s="22" t="s">
        <v>76</v>
      </c>
      <c r="L5" s="13">
        <f>L6*9/12</f>
        <v>169275</v>
      </c>
      <c r="M5" s="7" t="s">
        <v>14</v>
      </c>
      <c r="N5" s="14" t="s">
        <v>15</v>
      </c>
      <c r="O5" s="15" t="s">
        <v>16</v>
      </c>
      <c r="P5" s="16">
        <v>0.13300000000000001</v>
      </c>
      <c r="Q5" s="17" t="s">
        <v>17</v>
      </c>
      <c r="R5" s="18">
        <v>7.6499999999999999E-2</v>
      </c>
    </row>
    <row r="6" spans="1:18" ht="15.75" thickBot="1" x14ac:dyDescent="0.3">
      <c r="A6" s="22" t="s">
        <v>7</v>
      </c>
      <c r="C6" s="47"/>
      <c r="K6" s="22" t="s">
        <v>77</v>
      </c>
      <c r="L6" s="13">
        <v>225700</v>
      </c>
      <c r="M6" s="19" t="s">
        <v>18</v>
      </c>
      <c r="N6" s="14" t="s">
        <v>19</v>
      </c>
      <c r="O6" s="15" t="s">
        <v>3</v>
      </c>
      <c r="P6" s="20">
        <v>0.1</v>
      </c>
      <c r="Q6" s="17" t="s">
        <v>20</v>
      </c>
      <c r="R6" s="18">
        <v>1E-4</v>
      </c>
    </row>
    <row r="7" spans="1:18" ht="15.75" thickBot="1" x14ac:dyDescent="0.3">
      <c r="A7" s="22" t="s">
        <v>110</v>
      </c>
      <c r="B7" s="51">
        <f>'Course Buyout Calc #1'!B7</f>
        <v>0</v>
      </c>
      <c r="L7" s="21"/>
      <c r="N7" s="14" t="s">
        <v>21</v>
      </c>
      <c r="O7" s="15" t="s">
        <v>22</v>
      </c>
      <c r="P7" s="20">
        <v>0.08</v>
      </c>
      <c r="Q7" s="17" t="s">
        <v>23</v>
      </c>
      <c r="R7" s="18">
        <v>4.0000000000000001E-3</v>
      </c>
    </row>
    <row r="8" spans="1:18" ht="15.75" thickBot="1" x14ac:dyDescent="0.3">
      <c r="B8" s="52" t="s">
        <v>109</v>
      </c>
      <c r="L8" s="23" t="s">
        <v>24</v>
      </c>
      <c r="N8" s="14" t="s">
        <v>25</v>
      </c>
      <c r="O8" s="15" t="s">
        <v>4</v>
      </c>
      <c r="P8" s="16">
        <v>6.7000000000000004E-2</v>
      </c>
      <c r="Q8" s="24" t="s">
        <v>26</v>
      </c>
      <c r="R8" s="25">
        <f>SUM(R4:R7)</f>
        <v>0.32969999999999999</v>
      </c>
    </row>
    <row r="9" spans="1:18" ht="15.75" thickBot="1" x14ac:dyDescent="0.3">
      <c r="A9" s="22" t="s">
        <v>111</v>
      </c>
      <c r="B9" s="51">
        <f>'Course Buyout Calc #1'!B9</f>
        <v>0</v>
      </c>
      <c r="L9" s="26" t="s">
        <v>27</v>
      </c>
      <c r="N9" s="14" t="s">
        <v>28</v>
      </c>
      <c r="O9" s="27" t="s">
        <v>29</v>
      </c>
      <c r="P9" s="28">
        <v>0</v>
      </c>
      <c r="Q9" s="29"/>
      <c r="R9" s="30"/>
    </row>
    <row r="10" spans="1:18" ht="15.75" thickBot="1" x14ac:dyDescent="0.3">
      <c r="A10" s="22" t="s">
        <v>113</v>
      </c>
      <c r="C10" s="53"/>
      <c r="D10" s="54" t="s">
        <v>94</v>
      </c>
      <c r="E10" s="43" t="e">
        <f>IF(C10=9,B7/(C10*2),B9/(C10*2))</f>
        <v>#DIV/0!</v>
      </c>
      <c r="L10" s="21"/>
      <c r="N10" s="31" t="s">
        <v>30</v>
      </c>
      <c r="Q10" s="84" t="s">
        <v>31</v>
      </c>
      <c r="R10" s="85"/>
    </row>
    <row r="11" spans="1:18" ht="15.75" thickBot="1" x14ac:dyDescent="0.3">
      <c r="C11" s="55"/>
      <c r="D11" s="54" t="s">
        <v>93</v>
      </c>
      <c r="E11" s="44" t="e">
        <f>E10*24</f>
        <v>#DIV/0!</v>
      </c>
      <c r="L11" s="1" t="s">
        <v>5</v>
      </c>
      <c r="N11" s="31" t="s">
        <v>32</v>
      </c>
      <c r="Q11" s="32" t="s">
        <v>33</v>
      </c>
      <c r="R11" s="33">
        <f>658.77*9</f>
        <v>5928.93</v>
      </c>
    </row>
    <row r="12" spans="1:18" x14ac:dyDescent="0.25">
      <c r="C12" s="55"/>
      <c r="D12" s="56" t="s">
        <v>112</v>
      </c>
      <c r="E12" s="44" t="e">
        <f>IF(C10=9,B7,E11/11*9)</f>
        <v>#DIV/0!</v>
      </c>
      <c r="L12" s="6" t="s">
        <v>124</v>
      </c>
      <c r="N12" s="31" t="s">
        <v>34</v>
      </c>
      <c r="Q12" s="17" t="s">
        <v>35</v>
      </c>
      <c r="R12" s="34">
        <f>1082.35*9</f>
        <v>9741.15</v>
      </c>
    </row>
    <row r="13" spans="1:18" ht="15.75" thickBot="1" x14ac:dyDescent="0.3">
      <c r="A13" s="22" t="s">
        <v>70</v>
      </c>
      <c r="C13" s="47"/>
      <c r="K13" s="22" t="s">
        <v>76</v>
      </c>
      <c r="L13" s="13">
        <f>L14*9/12</f>
        <v>172660.5</v>
      </c>
      <c r="N13" s="31" t="s">
        <v>37</v>
      </c>
      <c r="Q13" s="17" t="s">
        <v>36</v>
      </c>
      <c r="R13" s="34">
        <f>1360.75*9</f>
        <v>12246.75</v>
      </c>
    </row>
    <row r="14" spans="1:18" ht="15.75" thickBot="1" x14ac:dyDescent="0.3">
      <c r="A14" s="22" t="s">
        <v>72</v>
      </c>
      <c r="C14" s="47"/>
      <c r="K14" s="22" t="s">
        <v>78</v>
      </c>
      <c r="L14" s="13">
        <f>L6*1.02</f>
        <v>230214</v>
      </c>
      <c r="N14" s="31" t="s">
        <v>39</v>
      </c>
      <c r="Q14" s="35"/>
      <c r="R14" s="36"/>
    </row>
    <row r="15" spans="1:18" ht="15.75" thickBot="1" x14ac:dyDescent="0.3">
      <c r="A15" s="22" t="s">
        <v>75</v>
      </c>
      <c r="C15" s="45" t="e">
        <f>VLOOKUP(C13,O3:P9,2,FALSE)</f>
        <v>#N/A</v>
      </c>
      <c r="L15" s="21" t="s">
        <v>125</v>
      </c>
      <c r="N15" s="31" t="s">
        <v>40</v>
      </c>
      <c r="Q15" s="24" t="s">
        <v>38</v>
      </c>
      <c r="R15" s="37">
        <f>1718*9</f>
        <v>15462</v>
      </c>
    </row>
    <row r="16" spans="1:18" x14ac:dyDescent="0.25">
      <c r="C16" s="57"/>
      <c r="L16" s="21" t="s">
        <v>80</v>
      </c>
      <c r="N16" s="31" t="s">
        <v>41</v>
      </c>
      <c r="Q16" s="29"/>
      <c r="R16" s="38"/>
    </row>
    <row r="17" spans="1:18" x14ac:dyDescent="0.25">
      <c r="A17" s="22" t="s">
        <v>115</v>
      </c>
      <c r="D17" s="58"/>
      <c r="L17" s="21"/>
      <c r="M17" s="22">
        <v>1</v>
      </c>
      <c r="N17" s="31" t="s">
        <v>42</v>
      </c>
      <c r="R17" s="39"/>
    </row>
    <row r="18" spans="1:18" x14ac:dyDescent="0.25">
      <c r="C18" s="57"/>
      <c r="L18" s="21">
        <v>9</v>
      </c>
      <c r="M18" s="22">
        <v>2</v>
      </c>
      <c r="N18" s="31" t="s">
        <v>43</v>
      </c>
      <c r="R18" s="39"/>
    </row>
    <row r="19" spans="1:18" x14ac:dyDescent="0.25">
      <c r="C19" s="57"/>
      <c r="L19" s="21">
        <v>12</v>
      </c>
      <c r="M19" s="22">
        <v>3</v>
      </c>
      <c r="N19" s="31" t="s">
        <v>44</v>
      </c>
      <c r="R19" s="39"/>
    </row>
    <row r="20" spans="1:18" x14ac:dyDescent="0.25">
      <c r="L20" s="21"/>
      <c r="M20" s="22">
        <v>4</v>
      </c>
      <c r="N20" s="31" t="s">
        <v>45</v>
      </c>
      <c r="R20" s="39"/>
    </row>
    <row r="21" spans="1:18" x14ac:dyDescent="0.25">
      <c r="A21" s="22" t="s">
        <v>73</v>
      </c>
      <c r="C21" s="47"/>
      <c r="L21" s="21"/>
      <c r="M21" s="22">
        <v>5</v>
      </c>
      <c r="N21" s="31" t="s">
        <v>46</v>
      </c>
      <c r="R21" s="40"/>
    </row>
    <row r="22" spans="1:18" ht="28.5" customHeight="1" x14ac:dyDescent="0.25">
      <c r="A22" s="91" t="s">
        <v>116</v>
      </c>
      <c r="B22" s="91"/>
      <c r="C22" s="49"/>
      <c r="D22" s="96" t="s">
        <v>117</v>
      </c>
      <c r="E22" s="96"/>
      <c r="L22" s="42" t="s">
        <v>102</v>
      </c>
      <c r="M22" s="22">
        <v>6</v>
      </c>
      <c r="N22" s="31" t="s">
        <v>47</v>
      </c>
      <c r="R22" s="40"/>
    </row>
    <row r="23" spans="1:18" ht="15.75" thickBot="1" x14ac:dyDescent="0.3">
      <c r="A23" s="22" t="s">
        <v>74</v>
      </c>
      <c r="B23" s="59"/>
      <c r="C23" s="43" t="e">
        <f>IF(E11&lt;=L6,ROUND(C21*C15*E12,2),IF(D17="No NIH CAP",ROUND(C21*C15*E12,2),ROUND(L6*C15*C21*C10/12,2)))</f>
        <v>#DIV/0!</v>
      </c>
      <c r="D23" s="21"/>
      <c r="L23" s="42" t="s">
        <v>103</v>
      </c>
      <c r="N23" s="31" t="s">
        <v>48</v>
      </c>
      <c r="R23" s="40"/>
    </row>
    <row r="24" spans="1:18" ht="44.45" customHeight="1" thickBot="1" x14ac:dyDescent="0.3">
      <c r="A24" s="94" t="s">
        <v>118</v>
      </c>
      <c r="B24" s="95"/>
      <c r="C24" s="60"/>
      <c r="D24" s="74" t="s">
        <v>95</v>
      </c>
      <c r="L24" s="42" t="s">
        <v>104</v>
      </c>
      <c r="N24" s="31" t="s">
        <v>49</v>
      </c>
      <c r="R24" s="40"/>
    </row>
    <row r="25" spans="1:18" x14ac:dyDescent="0.25">
      <c r="B25" s="62" t="s">
        <v>82</v>
      </c>
      <c r="C25" s="63" t="s">
        <v>83</v>
      </c>
      <c r="D25" s="61" t="s">
        <v>96</v>
      </c>
      <c r="L25" s="42" t="s">
        <v>105</v>
      </c>
      <c r="N25" s="31" t="s">
        <v>50</v>
      </c>
      <c r="R25" s="40"/>
    </row>
    <row r="26" spans="1:18" x14ac:dyDescent="0.25">
      <c r="A26" s="22" t="s">
        <v>81</v>
      </c>
      <c r="B26" s="49"/>
      <c r="C26" s="65"/>
      <c r="D26" s="81">
        <f>IFERROR(E12*C15*C21-(C30+'Course Buyout Calc #2'!C30+'Course Buyout Calc #1'!C30+'Course Buyout Calc #4'!C30),0)</f>
        <v>0</v>
      </c>
      <c r="L26" s="42" t="s">
        <v>106</v>
      </c>
      <c r="N26" s="31" t="s">
        <v>51</v>
      </c>
      <c r="R26" s="40"/>
    </row>
    <row r="27" spans="1:18" x14ac:dyDescent="0.25">
      <c r="B27" s="49"/>
      <c r="C27" s="65"/>
      <c r="L27" s="42"/>
      <c r="N27" s="31" t="s">
        <v>52</v>
      </c>
      <c r="R27" s="40"/>
    </row>
    <row r="28" spans="1:18" x14ac:dyDescent="0.25">
      <c r="B28" s="49"/>
      <c r="C28" s="65"/>
      <c r="L28" s="42" t="s">
        <v>11</v>
      </c>
      <c r="N28" s="31" t="s">
        <v>53</v>
      </c>
      <c r="R28" s="40"/>
    </row>
    <row r="29" spans="1:18" x14ac:dyDescent="0.25">
      <c r="B29" s="49"/>
      <c r="C29" s="65"/>
      <c r="L29" s="42" t="s">
        <v>14</v>
      </c>
      <c r="N29" s="31" t="s">
        <v>54</v>
      </c>
      <c r="R29" s="40"/>
    </row>
    <row r="30" spans="1:18" x14ac:dyDescent="0.25">
      <c r="B30" s="66" t="s">
        <v>26</v>
      </c>
      <c r="C30" s="67">
        <f>SUM(C26:C29)</f>
        <v>0</v>
      </c>
      <c r="L30" s="21"/>
      <c r="N30" s="31" t="s">
        <v>55</v>
      </c>
      <c r="R30" s="40"/>
    </row>
    <row r="31" spans="1:18" ht="40.9" customHeight="1" x14ac:dyDescent="0.25">
      <c r="C31" s="69" t="e">
        <f>IF((C30+'Course Buyout Calc #1'!C30+'Course Buyout Calc #2'!C30+'Course Buyout Calc #4'!C30-C23)=0,"Fully Allocated","Allocation does not agree with Total Buyout")</f>
        <v>#DIV/0!</v>
      </c>
      <c r="L31" s="21"/>
      <c r="N31" s="31" t="s">
        <v>56</v>
      </c>
      <c r="R31" s="40"/>
    </row>
    <row r="32" spans="1:18" x14ac:dyDescent="0.25">
      <c r="L32" s="21" t="s">
        <v>114</v>
      </c>
      <c r="N32" s="31" t="s">
        <v>57</v>
      </c>
      <c r="R32" s="40"/>
    </row>
    <row r="33" spans="1:18" ht="34.9" customHeight="1" x14ac:dyDescent="0.25">
      <c r="A33" s="22" t="s">
        <v>91</v>
      </c>
      <c r="B33" s="49"/>
      <c r="L33" s="21"/>
      <c r="N33" s="31" t="s">
        <v>58</v>
      </c>
      <c r="R33" s="40"/>
    </row>
    <row r="34" spans="1:18" x14ac:dyDescent="0.25">
      <c r="A34" s="22" t="s">
        <v>98</v>
      </c>
      <c r="B34" s="49"/>
      <c r="C34" s="89" t="s">
        <v>100</v>
      </c>
      <c r="D34" s="90"/>
      <c r="E34" s="90"/>
      <c r="F34" s="90"/>
      <c r="G34" s="90"/>
      <c r="H34" s="90"/>
      <c r="L34" s="21"/>
      <c r="N34" s="31" t="s">
        <v>59</v>
      </c>
      <c r="R34" s="40"/>
    </row>
    <row r="35" spans="1:18" x14ac:dyDescent="0.25">
      <c r="A35" s="22" t="s">
        <v>99</v>
      </c>
      <c r="B35" s="49"/>
      <c r="C35" s="89" t="s">
        <v>101</v>
      </c>
      <c r="D35" s="90"/>
      <c r="E35" s="90"/>
      <c r="F35" s="90"/>
      <c r="G35" s="90"/>
      <c r="H35" s="90"/>
      <c r="L35" s="21"/>
      <c r="N35" s="31" t="s">
        <v>60</v>
      </c>
      <c r="R35" s="40"/>
    </row>
    <row r="36" spans="1:18" x14ac:dyDescent="0.25">
      <c r="A36" s="22" t="s">
        <v>84</v>
      </c>
      <c r="B36" s="70">
        <f>IF(B35-B34&lt;0,"End date needs to be after start date",ROUND((B35-B34)/15.2,0))</f>
        <v>0</v>
      </c>
      <c r="L36" s="21"/>
      <c r="N36" s="31" t="s">
        <v>71</v>
      </c>
      <c r="R36" s="40"/>
    </row>
    <row r="37" spans="1:18" ht="15.75" thickBot="1" x14ac:dyDescent="0.3">
      <c r="L37" s="21"/>
      <c r="N37" s="31" t="s">
        <v>61</v>
      </c>
      <c r="R37" s="40"/>
    </row>
    <row r="38" spans="1:18" ht="32.25" thickBot="1" x14ac:dyDescent="0.55000000000000004">
      <c r="A38" s="86" t="s">
        <v>97</v>
      </c>
      <c r="B38" s="87"/>
      <c r="C38" s="87"/>
      <c r="D38" s="88"/>
      <c r="L38" s="21"/>
      <c r="N38" s="31" t="s">
        <v>62</v>
      </c>
      <c r="R38" s="40"/>
    </row>
    <row r="39" spans="1:18" x14ac:dyDescent="0.25">
      <c r="A39" s="75"/>
      <c r="B39" s="64" t="s">
        <v>82</v>
      </c>
      <c r="C39" s="64" t="s">
        <v>86</v>
      </c>
      <c r="D39" s="76" t="s">
        <v>92</v>
      </c>
      <c r="L39" s="21"/>
      <c r="N39" s="31" t="s">
        <v>63</v>
      </c>
      <c r="R39" s="40"/>
    </row>
    <row r="40" spans="1:18" x14ac:dyDescent="0.25">
      <c r="A40" s="77" t="s">
        <v>85</v>
      </c>
      <c r="B40" s="71">
        <f>B26</f>
        <v>0</v>
      </c>
      <c r="C40" s="46">
        <f>IF(B36=0,0,C26/B36)</f>
        <v>0</v>
      </c>
      <c r="D40" s="72">
        <f>C40*$C$10*2</f>
        <v>0</v>
      </c>
      <c r="L40" s="21"/>
      <c r="N40" s="31" t="s">
        <v>64</v>
      </c>
      <c r="R40" s="40"/>
    </row>
    <row r="41" spans="1:18" x14ac:dyDescent="0.25">
      <c r="A41" s="77" t="s">
        <v>85</v>
      </c>
      <c r="B41" s="71">
        <f>B27</f>
        <v>0</v>
      </c>
      <c r="C41" s="46">
        <f>IF(B36=0,0,C27/B36)</f>
        <v>0</v>
      </c>
      <c r="D41" s="72">
        <f t="shared" ref="D41:D43" si="0">C41*$C$10*2</f>
        <v>0</v>
      </c>
      <c r="L41" s="21"/>
      <c r="N41" s="31" t="s">
        <v>65</v>
      </c>
      <c r="R41" s="40"/>
    </row>
    <row r="42" spans="1:18" x14ac:dyDescent="0.25">
      <c r="A42" s="77" t="s">
        <v>85</v>
      </c>
      <c r="B42" s="71">
        <f>B28</f>
        <v>0</v>
      </c>
      <c r="C42" s="46">
        <f>IF(B36=0,0,C28/B36)</f>
        <v>0</v>
      </c>
      <c r="D42" s="72">
        <f t="shared" si="0"/>
        <v>0</v>
      </c>
      <c r="L42" s="21"/>
      <c r="N42" s="31" t="s">
        <v>66</v>
      </c>
      <c r="R42" s="40"/>
    </row>
    <row r="43" spans="1:18" x14ac:dyDescent="0.25">
      <c r="A43" s="77" t="s">
        <v>85</v>
      </c>
      <c r="B43" s="71">
        <f>B29</f>
        <v>0</v>
      </c>
      <c r="C43" s="46">
        <f>IF(B36=0,0,C29/B36)</f>
        <v>0</v>
      </c>
      <c r="D43" s="72">
        <f t="shared" si="0"/>
        <v>0</v>
      </c>
      <c r="L43" s="21"/>
      <c r="N43" s="31" t="s">
        <v>67</v>
      </c>
      <c r="R43" s="40"/>
    </row>
    <row r="44" spans="1:18" x14ac:dyDescent="0.25">
      <c r="A44" s="77"/>
      <c r="B44" s="66" t="s">
        <v>87</v>
      </c>
      <c r="D44" s="72">
        <f>D45-SUM(D40:D43)</f>
        <v>0</v>
      </c>
      <c r="L44" s="21"/>
      <c r="N44" s="31" t="s">
        <v>68</v>
      </c>
      <c r="R44" s="40"/>
    </row>
    <row r="45" spans="1:18" ht="15.75" thickBot="1" x14ac:dyDescent="0.3">
      <c r="A45" s="78"/>
      <c r="B45" s="80" t="s">
        <v>88</v>
      </c>
      <c r="C45" s="79"/>
      <c r="D45" s="73">
        <f>B9+B7</f>
        <v>0</v>
      </c>
      <c r="L45" s="21"/>
      <c r="N45" s="41" t="s">
        <v>69</v>
      </c>
      <c r="R45" s="40"/>
    </row>
    <row r="46" spans="1:18" x14ac:dyDescent="0.25">
      <c r="L46" s="21"/>
      <c r="R46" s="40"/>
    </row>
    <row r="47" spans="1:18" x14ac:dyDescent="0.25">
      <c r="L47" s="21"/>
      <c r="R47" s="40"/>
    </row>
    <row r="48" spans="1:18" x14ac:dyDescent="0.25">
      <c r="L48" s="21"/>
      <c r="R48" s="40"/>
    </row>
    <row r="49" spans="12:18" x14ac:dyDescent="0.25">
      <c r="L49" s="21"/>
      <c r="R49" s="40"/>
    </row>
    <row r="50" spans="12:18" x14ac:dyDescent="0.25">
      <c r="L50" s="21"/>
      <c r="R50" s="40"/>
    </row>
  </sheetData>
  <sheetProtection algorithmName="SHA-512" hashValue="tU7sVgcZyvpEkhPXFgus8aBTKBUsMVNQBoJiC4p/5XltwTgPOXctH9gUhpCfY8V9USWxwmz2A5txSPpOgwrWlA==" saltValue="OqM7pINeQO+Ekvigdom8Gw==" spinCount="100000" sheet="1" objects="1" scenarios="1" selectLockedCells="1"/>
  <mergeCells count="8">
    <mergeCell ref="C35:H35"/>
    <mergeCell ref="A38:D38"/>
    <mergeCell ref="Q3:R3"/>
    <mergeCell ref="Q10:R10"/>
    <mergeCell ref="A22:B22"/>
    <mergeCell ref="D22:E22"/>
    <mergeCell ref="A24:B24"/>
    <mergeCell ref="C34:H34"/>
  </mergeCells>
  <dataValidations count="9">
    <dataValidation type="list" allowBlank="1" showInputMessage="1" showErrorMessage="1" sqref="C13" xr:uid="{9B869E1A-790E-4B96-8FD0-0F13F0EFB303}">
      <formula1>$O$4:$O$8</formula1>
    </dataValidation>
    <dataValidation type="list" allowBlank="1" showInputMessage="1" showErrorMessage="1" sqref="C6" xr:uid="{82643C38-3F51-44DB-9D0D-B9323333B1DA}">
      <formula1>$N$4:$N$45</formula1>
    </dataValidation>
    <dataValidation type="list" allowBlank="1" showInputMessage="1" showErrorMessage="1" sqref="C14" xr:uid="{FAB084DF-41CB-42A3-A950-3B8E0A035658}">
      <formula1>$M$17:$M$20</formula1>
    </dataValidation>
    <dataValidation type="list" allowBlank="1" showInputMessage="1" showErrorMessage="1" sqref="C21" xr:uid="{58F511C0-7911-4B73-B04F-4F0C5CA811CE}">
      <formula1>$M$17:$M$22</formula1>
    </dataValidation>
    <dataValidation type="list" allowBlank="1" showInputMessage="1" showErrorMessage="1" sqref="C10" xr:uid="{75627B3E-02C0-429F-B042-92FAAA042062}">
      <formula1>$L$18:$L$19</formula1>
    </dataValidation>
    <dataValidation type="list" allowBlank="1" showInputMessage="1" showErrorMessage="1" sqref="B33" xr:uid="{3D2CFA67-E373-4241-A047-FC46052F2E9E}">
      <formula1>$M$4:$M$6</formula1>
    </dataValidation>
    <dataValidation type="list" allowBlank="1" showInputMessage="1" showErrorMessage="1" sqref="B1" xr:uid="{D7BC4AAB-86F6-4712-B1D9-C1A85D630C53}">
      <formula1>$L$22:$L$26</formula1>
    </dataValidation>
    <dataValidation type="list" allowBlank="1" showInputMessage="1" showErrorMessage="1" sqref="B2" xr:uid="{26BA4DAC-FBBA-4A07-AA0E-3867B0155A76}">
      <formula1>$L$28:$L$29</formula1>
    </dataValidation>
    <dataValidation type="list" allowBlank="1" showInputMessage="1" showErrorMessage="1" sqref="D17" xr:uid="{6AD4624E-462C-472B-B73C-34F611E79571}">
      <formula1>$L$31:$L$32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F0BBA-2BE6-4B6F-9405-218EBB65ECE5}">
  <dimension ref="A1:S50"/>
  <sheetViews>
    <sheetView zoomScale="90" zoomScaleNormal="90" workbookViewId="0">
      <selection activeCell="K1" sqref="K1:S1048576"/>
    </sheetView>
  </sheetViews>
  <sheetFormatPr defaultColWidth="8.85546875" defaultRowHeight="15" x14ac:dyDescent="0.25"/>
  <cols>
    <col min="1" max="1" width="39.28515625" style="22" customWidth="1"/>
    <col min="2" max="2" width="33.5703125" style="22" customWidth="1"/>
    <col min="3" max="3" width="19.5703125" style="21" customWidth="1"/>
    <col min="4" max="4" width="27.7109375" style="22" customWidth="1"/>
    <col min="5" max="5" width="21.5703125" style="22" customWidth="1"/>
    <col min="6" max="9" width="8.85546875" style="22"/>
    <col min="10" max="10" width="8.85546875" style="22" customWidth="1"/>
    <col min="11" max="11" width="9.42578125" style="22" hidden="1" customWidth="1"/>
    <col min="12" max="12" width="33.7109375" style="22" hidden="1" customWidth="1"/>
    <col min="13" max="13" width="8.85546875" style="22" hidden="1" customWidth="1"/>
    <col min="14" max="14" width="27" style="22" hidden="1" customWidth="1"/>
    <col min="15" max="16" width="8.85546875" style="22" hidden="1" customWidth="1"/>
    <col min="17" max="17" width="28.7109375" style="22" hidden="1" customWidth="1"/>
    <col min="18" max="18" width="10.5703125" style="22" hidden="1" customWidth="1"/>
    <col min="19" max="19" width="8.85546875" style="22" hidden="1" customWidth="1"/>
    <col min="20" max="16384" width="8.85546875" style="22"/>
  </cols>
  <sheetData>
    <row r="1" spans="1:18" x14ac:dyDescent="0.25">
      <c r="A1" s="22" t="s">
        <v>107</v>
      </c>
      <c r="B1" s="47"/>
    </row>
    <row r="2" spans="1:18" ht="15.75" thickBot="1" x14ac:dyDescent="0.3">
      <c r="A2" s="22" t="s">
        <v>108</v>
      </c>
      <c r="B2" s="47"/>
    </row>
    <row r="3" spans="1:18" ht="15.75" thickBot="1" x14ac:dyDescent="0.3">
      <c r="A3" s="22" t="s">
        <v>89</v>
      </c>
      <c r="C3" s="48"/>
      <c r="D3" s="22" t="s">
        <v>90</v>
      </c>
      <c r="E3" s="49">
        <f>'Course Buyout Calc #1'!E3</f>
        <v>0</v>
      </c>
      <c r="L3" s="1" t="s">
        <v>5</v>
      </c>
      <c r="M3" s="2" t="s">
        <v>6</v>
      </c>
      <c r="N3" s="3" t="s">
        <v>7</v>
      </c>
      <c r="O3" s="4" t="s">
        <v>8</v>
      </c>
      <c r="P3" s="5" t="s">
        <v>9</v>
      </c>
      <c r="Q3" s="84" t="s">
        <v>10</v>
      </c>
      <c r="R3" s="85"/>
    </row>
    <row r="4" spans="1:18" x14ac:dyDescent="0.25">
      <c r="A4" s="50" t="s">
        <v>0</v>
      </c>
      <c r="B4" s="50"/>
      <c r="C4" s="47"/>
      <c r="L4" s="6" t="s">
        <v>120</v>
      </c>
      <c r="M4" s="7" t="s">
        <v>11</v>
      </c>
      <c r="N4" s="8" t="s">
        <v>12</v>
      </c>
      <c r="O4" s="9" t="s">
        <v>2</v>
      </c>
      <c r="P4" s="10">
        <v>0.2</v>
      </c>
      <c r="Q4" s="11" t="s">
        <v>13</v>
      </c>
      <c r="R4" s="12">
        <v>0.24909999999999999</v>
      </c>
    </row>
    <row r="5" spans="1:18" ht="15.75" thickBot="1" x14ac:dyDescent="0.3">
      <c r="A5" s="50" t="s">
        <v>1</v>
      </c>
      <c r="B5" s="50"/>
      <c r="C5" s="47"/>
      <c r="K5" s="22" t="s">
        <v>76</v>
      </c>
      <c r="L5" s="13">
        <f>L6*9/12</f>
        <v>169275</v>
      </c>
      <c r="M5" s="7" t="s">
        <v>14</v>
      </c>
      <c r="N5" s="14" t="s">
        <v>15</v>
      </c>
      <c r="O5" s="15" t="s">
        <v>16</v>
      </c>
      <c r="P5" s="16">
        <v>0.13300000000000001</v>
      </c>
      <c r="Q5" s="17" t="s">
        <v>17</v>
      </c>
      <c r="R5" s="18">
        <v>7.6499999999999999E-2</v>
      </c>
    </row>
    <row r="6" spans="1:18" ht="15.75" thickBot="1" x14ac:dyDescent="0.3">
      <c r="A6" s="22" t="s">
        <v>7</v>
      </c>
      <c r="C6" s="47"/>
      <c r="K6" s="22" t="s">
        <v>77</v>
      </c>
      <c r="L6" s="13">
        <v>225700</v>
      </c>
      <c r="M6" s="19" t="s">
        <v>18</v>
      </c>
      <c r="N6" s="14" t="s">
        <v>19</v>
      </c>
      <c r="O6" s="15" t="s">
        <v>3</v>
      </c>
      <c r="P6" s="20">
        <v>0.1</v>
      </c>
      <c r="Q6" s="17" t="s">
        <v>20</v>
      </c>
      <c r="R6" s="18">
        <v>1E-4</v>
      </c>
    </row>
    <row r="7" spans="1:18" ht="15.75" thickBot="1" x14ac:dyDescent="0.3">
      <c r="A7" s="22" t="s">
        <v>110</v>
      </c>
      <c r="B7" s="51">
        <f>'Course Buyout Calc #1'!B7</f>
        <v>0</v>
      </c>
      <c r="L7" s="21"/>
      <c r="N7" s="14" t="s">
        <v>21</v>
      </c>
      <c r="O7" s="15" t="s">
        <v>22</v>
      </c>
      <c r="P7" s="20">
        <v>0.08</v>
      </c>
      <c r="Q7" s="17" t="s">
        <v>23</v>
      </c>
      <c r="R7" s="18">
        <v>4.0000000000000001E-3</v>
      </c>
    </row>
    <row r="8" spans="1:18" ht="15.75" thickBot="1" x14ac:dyDescent="0.3">
      <c r="B8" s="52" t="s">
        <v>109</v>
      </c>
      <c r="L8" s="23" t="s">
        <v>24</v>
      </c>
      <c r="N8" s="14" t="s">
        <v>25</v>
      </c>
      <c r="O8" s="15" t="s">
        <v>4</v>
      </c>
      <c r="P8" s="16">
        <v>6.7000000000000004E-2</v>
      </c>
      <c r="Q8" s="24" t="s">
        <v>26</v>
      </c>
      <c r="R8" s="25">
        <f>SUM(R4:R7)</f>
        <v>0.32969999999999999</v>
      </c>
    </row>
    <row r="9" spans="1:18" ht="15.75" thickBot="1" x14ac:dyDescent="0.3">
      <c r="A9" s="22" t="s">
        <v>111</v>
      </c>
      <c r="B9" s="51">
        <f>'Course Buyout Calc #1'!B9</f>
        <v>0</v>
      </c>
      <c r="L9" s="26" t="s">
        <v>27</v>
      </c>
      <c r="N9" s="14" t="s">
        <v>28</v>
      </c>
      <c r="O9" s="27" t="s">
        <v>29</v>
      </c>
      <c r="P9" s="28">
        <v>0</v>
      </c>
      <c r="Q9" s="29"/>
      <c r="R9" s="30"/>
    </row>
    <row r="10" spans="1:18" ht="15.75" thickBot="1" x14ac:dyDescent="0.3">
      <c r="A10" s="22" t="s">
        <v>113</v>
      </c>
      <c r="C10" s="53"/>
      <c r="D10" s="54" t="s">
        <v>94</v>
      </c>
      <c r="E10" s="43" t="e">
        <f>IF(C10=9,B7/(C10*2),B9/(C10*2))</f>
        <v>#DIV/0!</v>
      </c>
      <c r="L10" s="21"/>
      <c r="N10" s="31" t="s">
        <v>30</v>
      </c>
      <c r="Q10" s="84" t="s">
        <v>31</v>
      </c>
      <c r="R10" s="85"/>
    </row>
    <row r="11" spans="1:18" ht="15.75" thickBot="1" x14ac:dyDescent="0.3">
      <c r="C11" s="55"/>
      <c r="D11" s="54" t="s">
        <v>93</v>
      </c>
      <c r="E11" s="44" t="e">
        <f>E10*24</f>
        <v>#DIV/0!</v>
      </c>
      <c r="L11" s="1" t="s">
        <v>5</v>
      </c>
      <c r="N11" s="31" t="s">
        <v>32</v>
      </c>
      <c r="Q11" s="32" t="s">
        <v>33</v>
      </c>
      <c r="R11" s="33">
        <f>658.77*9</f>
        <v>5928.93</v>
      </c>
    </row>
    <row r="12" spans="1:18" x14ac:dyDescent="0.25">
      <c r="C12" s="55"/>
      <c r="D12" s="56" t="s">
        <v>112</v>
      </c>
      <c r="E12" s="44" t="e">
        <f>IF(C10=9,B7,E11/11*9)</f>
        <v>#DIV/0!</v>
      </c>
      <c r="L12" s="6" t="s">
        <v>121</v>
      </c>
      <c r="N12" s="31" t="s">
        <v>34</v>
      </c>
      <c r="Q12" s="17" t="s">
        <v>35</v>
      </c>
      <c r="R12" s="34">
        <f>1082.35*9</f>
        <v>9741.15</v>
      </c>
    </row>
    <row r="13" spans="1:18" ht="15.75" thickBot="1" x14ac:dyDescent="0.3">
      <c r="A13" s="22" t="s">
        <v>70</v>
      </c>
      <c r="C13" s="47"/>
      <c r="K13" s="22" t="s">
        <v>76</v>
      </c>
      <c r="L13" s="13">
        <f>L14*9/12</f>
        <v>172660.5</v>
      </c>
      <c r="N13" s="31" t="s">
        <v>37</v>
      </c>
      <c r="Q13" s="17" t="s">
        <v>36</v>
      </c>
      <c r="R13" s="34">
        <f>1360.75*9</f>
        <v>12246.75</v>
      </c>
    </row>
    <row r="14" spans="1:18" ht="15.75" thickBot="1" x14ac:dyDescent="0.3">
      <c r="A14" s="22" t="s">
        <v>72</v>
      </c>
      <c r="C14" s="47"/>
      <c r="K14" s="22" t="s">
        <v>78</v>
      </c>
      <c r="L14" s="13">
        <f>L6*1.02</f>
        <v>230214</v>
      </c>
      <c r="N14" s="31" t="s">
        <v>39</v>
      </c>
      <c r="Q14" s="35"/>
      <c r="R14" s="36"/>
    </row>
    <row r="15" spans="1:18" ht="15.75" thickBot="1" x14ac:dyDescent="0.3">
      <c r="A15" s="22" t="s">
        <v>75</v>
      </c>
      <c r="C15" s="45" t="e">
        <f>VLOOKUP(C13,O3:P9,2,FALSE)</f>
        <v>#N/A</v>
      </c>
      <c r="L15" s="21" t="s">
        <v>122</v>
      </c>
      <c r="N15" s="31" t="s">
        <v>40</v>
      </c>
      <c r="Q15" s="24" t="s">
        <v>38</v>
      </c>
      <c r="R15" s="37">
        <f>1718*9</f>
        <v>15462</v>
      </c>
    </row>
    <row r="16" spans="1:18" x14ac:dyDescent="0.25">
      <c r="C16" s="57"/>
      <c r="L16" s="21"/>
      <c r="N16" s="31" t="s">
        <v>41</v>
      </c>
      <c r="Q16" s="29"/>
      <c r="R16" s="38"/>
    </row>
    <row r="17" spans="1:18" x14ac:dyDescent="0.25">
      <c r="A17" s="22" t="s">
        <v>115</v>
      </c>
      <c r="D17" s="58"/>
      <c r="L17" s="21"/>
      <c r="M17" s="22">
        <v>1</v>
      </c>
      <c r="N17" s="31" t="s">
        <v>42</v>
      </c>
      <c r="R17" s="39"/>
    </row>
    <row r="18" spans="1:18" x14ac:dyDescent="0.25">
      <c r="C18" s="57"/>
      <c r="L18" s="21">
        <v>9</v>
      </c>
      <c r="M18" s="22">
        <v>2</v>
      </c>
      <c r="N18" s="31" t="s">
        <v>43</v>
      </c>
      <c r="R18" s="39"/>
    </row>
    <row r="19" spans="1:18" x14ac:dyDescent="0.25">
      <c r="C19" s="57"/>
      <c r="L19" s="21">
        <v>12</v>
      </c>
      <c r="M19" s="22">
        <v>3</v>
      </c>
      <c r="N19" s="31" t="s">
        <v>44</v>
      </c>
      <c r="R19" s="39"/>
    </row>
    <row r="20" spans="1:18" x14ac:dyDescent="0.25">
      <c r="L20" s="21"/>
      <c r="M20" s="22">
        <v>4</v>
      </c>
      <c r="N20" s="31" t="s">
        <v>45</v>
      </c>
      <c r="R20" s="39"/>
    </row>
    <row r="21" spans="1:18" x14ac:dyDescent="0.25">
      <c r="A21" s="22" t="s">
        <v>73</v>
      </c>
      <c r="C21" s="47"/>
      <c r="L21" s="21"/>
      <c r="M21" s="22">
        <v>5</v>
      </c>
      <c r="N21" s="31" t="s">
        <v>46</v>
      </c>
      <c r="R21" s="40"/>
    </row>
    <row r="22" spans="1:18" ht="28.5" customHeight="1" x14ac:dyDescent="0.25">
      <c r="A22" s="91" t="s">
        <v>116</v>
      </c>
      <c r="B22" s="91"/>
      <c r="C22" s="49"/>
      <c r="D22" s="96" t="s">
        <v>117</v>
      </c>
      <c r="E22" s="96"/>
      <c r="L22" s="42" t="s">
        <v>102</v>
      </c>
      <c r="M22" s="22">
        <v>6</v>
      </c>
      <c r="N22" s="31" t="s">
        <v>47</v>
      </c>
      <c r="R22" s="40"/>
    </row>
    <row r="23" spans="1:18" ht="15.75" thickBot="1" x14ac:dyDescent="0.3">
      <c r="A23" s="22" t="s">
        <v>74</v>
      </c>
      <c r="B23" s="59"/>
      <c r="C23" s="43" t="e">
        <f>IF(E11&lt;=L6,ROUND(C21*C15*E12,2),IF(D17="No NIH CAP",ROUND(C21*C15*E12,2),ROUND(L6*C15*C21*C10/12,2)))</f>
        <v>#DIV/0!</v>
      </c>
      <c r="D23" s="21"/>
      <c r="L23" s="42" t="s">
        <v>103</v>
      </c>
      <c r="N23" s="31" t="s">
        <v>48</v>
      </c>
      <c r="R23" s="40"/>
    </row>
    <row r="24" spans="1:18" ht="44.45" customHeight="1" thickBot="1" x14ac:dyDescent="0.3">
      <c r="A24" s="94" t="s">
        <v>118</v>
      </c>
      <c r="B24" s="95"/>
      <c r="C24" s="60"/>
      <c r="D24" s="74" t="s">
        <v>95</v>
      </c>
      <c r="L24" s="42" t="s">
        <v>104</v>
      </c>
      <c r="N24" s="31" t="s">
        <v>49</v>
      </c>
      <c r="R24" s="40"/>
    </row>
    <row r="25" spans="1:18" x14ac:dyDescent="0.25">
      <c r="B25" s="62" t="s">
        <v>82</v>
      </c>
      <c r="C25" s="63" t="s">
        <v>83</v>
      </c>
      <c r="D25" s="61" t="s">
        <v>96</v>
      </c>
      <c r="L25" s="42" t="s">
        <v>105</v>
      </c>
      <c r="N25" s="31" t="s">
        <v>50</v>
      </c>
      <c r="R25" s="40"/>
    </row>
    <row r="26" spans="1:18" x14ac:dyDescent="0.25">
      <c r="A26" s="22" t="s">
        <v>81</v>
      </c>
      <c r="B26" s="49"/>
      <c r="C26" s="65"/>
      <c r="D26" s="81">
        <f>IFERROR(E12*C15*C21-(C30+'Course Buyout Calc #2'!C30+'Course Buyout Calc #3'!C30+'Course Buyout Calc #1'!C30),0)</f>
        <v>0</v>
      </c>
      <c r="L26" s="42" t="s">
        <v>106</v>
      </c>
      <c r="N26" s="31" t="s">
        <v>51</v>
      </c>
      <c r="R26" s="40"/>
    </row>
    <row r="27" spans="1:18" x14ac:dyDescent="0.25">
      <c r="B27" s="49"/>
      <c r="C27" s="65"/>
      <c r="L27" s="42"/>
      <c r="N27" s="31" t="s">
        <v>52</v>
      </c>
      <c r="R27" s="40"/>
    </row>
    <row r="28" spans="1:18" x14ac:dyDescent="0.25">
      <c r="B28" s="49"/>
      <c r="C28" s="65"/>
      <c r="L28" s="42" t="s">
        <v>11</v>
      </c>
      <c r="N28" s="31" t="s">
        <v>53</v>
      </c>
      <c r="R28" s="40"/>
    </row>
    <row r="29" spans="1:18" x14ac:dyDescent="0.25">
      <c r="B29" s="49"/>
      <c r="C29" s="65"/>
      <c r="L29" s="42" t="s">
        <v>14</v>
      </c>
      <c r="N29" s="31" t="s">
        <v>54</v>
      </c>
      <c r="R29" s="40"/>
    </row>
    <row r="30" spans="1:18" x14ac:dyDescent="0.25">
      <c r="B30" s="66" t="s">
        <v>26</v>
      </c>
      <c r="C30" s="67">
        <f>SUM(C26:C29)</f>
        <v>0</v>
      </c>
      <c r="L30" s="21"/>
      <c r="N30" s="31" t="s">
        <v>55</v>
      </c>
      <c r="R30" s="40"/>
    </row>
    <row r="31" spans="1:18" ht="40.9" customHeight="1" x14ac:dyDescent="0.25">
      <c r="C31" s="69" t="e">
        <f>IF((C30+'Course Buyout Calc #1'!C30+'Course Buyout Calc #2'!C30+'Course Buyout Calc #3'!C30-C23)=0,"Fully Allocated","Allocation does not agree with Total Buyout")</f>
        <v>#DIV/0!</v>
      </c>
      <c r="L31" s="21"/>
      <c r="N31" s="31" t="s">
        <v>56</v>
      </c>
      <c r="R31" s="40"/>
    </row>
    <row r="32" spans="1:18" x14ac:dyDescent="0.25">
      <c r="L32" s="21" t="s">
        <v>114</v>
      </c>
      <c r="N32" s="31" t="s">
        <v>57</v>
      </c>
      <c r="R32" s="40"/>
    </row>
    <row r="33" spans="1:18" ht="34.9" customHeight="1" x14ac:dyDescent="0.25">
      <c r="A33" s="22" t="s">
        <v>91</v>
      </c>
      <c r="B33" s="49"/>
      <c r="L33" s="21"/>
      <c r="N33" s="31" t="s">
        <v>58</v>
      </c>
      <c r="R33" s="40"/>
    </row>
    <row r="34" spans="1:18" x14ac:dyDescent="0.25">
      <c r="A34" s="22" t="s">
        <v>98</v>
      </c>
      <c r="B34" s="49"/>
      <c r="C34" s="89" t="s">
        <v>100</v>
      </c>
      <c r="D34" s="90"/>
      <c r="E34" s="90"/>
      <c r="F34" s="90"/>
      <c r="G34" s="90"/>
      <c r="H34" s="90"/>
      <c r="L34" s="21"/>
      <c r="N34" s="31" t="s">
        <v>59</v>
      </c>
      <c r="R34" s="40"/>
    </row>
    <row r="35" spans="1:18" x14ac:dyDescent="0.25">
      <c r="A35" s="22" t="s">
        <v>99</v>
      </c>
      <c r="B35" s="49"/>
      <c r="C35" s="89" t="s">
        <v>101</v>
      </c>
      <c r="D35" s="90"/>
      <c r="E35" s="90"/>
      <c r="F35" s="90"/>
      <c r="G35" s="90"/>
      <c r="H35" s="90"/>
      <c r="L35" s="21"/>
      <c r="N35" s="31" t="s">
        <v>60</v>
      </c>
      <c r="R35" s="40"/>
    </row>
    <row r="36" spans="1:18" x14ac:dyDescent="0.25">
      <c r="A36" s="22" t="s">
        <v>84</v>
      </c>
      <c r="B36" s="70">
        <f>IF(B35-B34&lt;0,"End date needs to be after start date",ROUND((B35-B34)/15.2,0))</f>
        <v>0</v>
      </c>
      <c r="L36" s="21"/>
      <c r="N36" s="31" t="s">
        <v>71</v>
      </c>
      <c r="R36" s="40"/>
    </row>
    <row r="37" spans="1:18" ht="15.75" thickBot="1" x14ac:dyDescent="0.3">
      <c r="L37" s="21"/>
      <c r="N37" s="31" t="s">
        <v>61</v>
      </c>
      <c r="R37" s="40"/>
    </row>
    <row r="38" spans="1:18" ht="32.25" thickBot="1" x14ac:dyDescent="0.55000000000000004">
      <c r="A38" s="86" t="s">
        <v>97</v>
      </c>
      <c r="B38" s="87"/>
      <c r="C38" s="87"/>
      <c r="D38" s="88"/>
      <c r="L38" s="21"/>
      <c r="N38" s="31" t="s">
        <v>62</v>
      </c>
      <c r="R38" s="40"/>
    </row>
    <row r="39" spans="1:18" x14ac:dyDescent="0.25">
      <c r="A39" s="75"/>
      <c r="B39" s="64" t="s">
        <v>82</v>
      </c>
      <c r="C39" s="64" t="s">
        <v>86</v>
      </c>
      <c r="D39" s="76" t="s">
        <v>92</v>
      </c>
      <c r="L39" s="21"/>
      <c r="N39" s="31" t="s">
        <v>63</v>
      </c>
      <c r="R39" s="40"/>
    </row>
    <row r="40" spans="1:18" x14ac:dyDescent="0.25">
      <c r="A40" s="77" t="s">
        <v>85</v>
      </c>
      <c r="B40" s="71">
        <f>B26</f>
        <v>0</v>
      </c>
      <c r="C40" s="46">
        <f>IF(B36=0,0,C26/B36)</f>
        <v>0</v>
      </c>
      <c r="D40" s="72">
        <f>C40*$C$10*2</f>
        <v>0</v>
      </c>
      <c r="L40" s="21"/>
      <c r="N40" s="31" t="s">
        <v>64</v>
      </c>
      <c r="R40" s="40"/>
    </row>
    <row r="41" spans="1:18" x14ac:dyDescent="0.25">
      <c r="A41" s="77" t="s">
        <v>85</v>
      </c>
      <c r="B41" s="71">
        <f>B27</f>
        <v>0</v>
      </c>
      <c r="C41" s="46">
        <f>IF(B36=0,0,C27/B36)</f>
        <v>0</v>
      </c>
      <c r="D41" s="72">
        <f t="shared" ref="D41:D43" si="0">C41*$C$10*2</f>
        <v>0</v>
      </c>
      <c r="L41" s="21"/>
      <c r="N41" s="31" t="s">
        <v>65</v>
      </c>
      <c r="R41" s="40"/>
    </row>
    <row r="42" spans="1:18" x14ac:dyDescent="0.25">
      <c r="A42" s="77" t="s">
        <v>85</v>
      </c>
      <c r="B42" s="71">
        <f>B28</f>
        <v>0</v>
      </c>
      <c r="C42" s="46">
        <f>IF(B36=0,0,C28/B36)</f>
        <v>0</v>
      </c>
      <c r="D42" s="72">
        <f t="shared" si="0"/>
        <v>0</v>
      </c>
      <c r="L42" s="21"/>
      <c r="N42" s="31" t="s">
        <v>66</v>
      </c>
      <c r="R42" s="40"/>
    </row>
    <row r="43" spans="1:18" x14ac:dyDescent="0.25">
      <c r="A43" s="77" t="s">
        <v>85</v>
      </c>
      <c r="B43" s="71">
        <f>B29</f>
        <v>0</v>
      </c>
      <c r="C43" s="46">
        <f>IF(B36=0,0,C29/B36)</f>
        <v>0</v>
      </c>
      <c r="D43" s="72">
        <f t="shared" si="0"/>
        <v>0</v>
      </c>
      <c r="L43" s="21"/>
      <c r="N43" s="31" t="s">
        <v>67</v>
      </c>
      <c r="R43" s="40"/>
    </row>
    <row r="44" spans="1:18" x14ac:dyDescent="0.25">
      <c r="A44" s="77"/>
      <c r="B44" s="66" t="s">
        <v>87</v>
      </c>
      <c r="D44" s="72">
        <f>D45-SUM(D40:D43)</f>
        <v>0</v>
      </c>
      <c r="L44" s="21"/>
      <c r="N44" s="31" t="s">
        <v>68</v>
      </c>
      <c r="R44" s="40"/>
    </row>
    <row r="45" spans="1:18" ht="15.75" thickBot="1" x14ac:dyDescent="0.3">
      <c r="A45" s="78"/>
      <c r="B45" s="80" t="s">
        <v>88</v>
      </c>
      <c r="C45" s="79"/>
      <c r="D45" s="73">
        <f>B9+B7</f>
        <v>0</v>
      </c>
      <c r="L45" s="21"/>
      <c r="N45" s="41" t="s">
        <v>69</v>
      </c>
      <c r="R45" s="40"/>
    </row>
    <row r="46" spans="1:18" x14ac:dyDescent="0.25">
      <c r="L46" s="21"/>
      <c r="R46" s="40"/>
    </row>
    <row r="47" spans="1:18" x14ac:dyDescent="0.25">
      <c r="L47" s="21"/>
      <c r="R47" s="40"/>
    </row>
    <row r="48" spans="1:18" x14ac:dyDescent="0.25">
      <c r="L48" s="21"/>
      <c r="R48" s="40"/>
    </row>
    <row r="49" spans="12:18" x14ac:dyDescent="0.25">
      <c r="L49" s="21"/>
      <c r="R49" s="40"/>
    </row>
    <row r="50" spans="12:18" x14ac:dyDescent="0.25">
      <c r="L50" s="21"/>
      <c r="R50" s="40"/>
    </row>
  </sheetData>
  <sheetProtection algorithmName="SHA-512" hashValue="eeE5gA/jnLX93oMlCI4oxOHA6JFa0vTBmIfurEH1815iKtIQ5xWvZ5CGZeSz5YWa+HY/0TqFrwn+za/oK7EHLQ==" saltValue="vSKV97IXfo0dJBtfzcbaVA==" spinCount="100000" sheet="1" objects="1" scenarios="1" selectLockedCells="1"/>
  <mergeCells count="8">
    <mergeCell ref="C35:H35"/>
    <mergeCell ref="A38:D38"/>
    <mergeCell ref="Q3:R3"/>
    <mergeCell ref="Q10:R10"/>
    <mergeCell ref="A22:B22"/>
    <mergeCell ref="D22:E22"/>
    <mergeCell ref="A24:B24"/>
    <mergeCell ref="C34:H34"/>
  </mergeCells>
  <dataValidations count="9">
    <dataValidation type="list" allowBlank="1" showInputMessage="1" showErrorMessage="1" sqref="C13" xr:uid="{06B42AA1-9154-4A2A-935B-1ABB4EC880AE}">
      <formula1>$O$4:$O$8</formula1>
    </dataValidation>
    <dataValidation type="list" allowBlank="1" showInputMessage="1" showErrorMessage="1" sqref="C6" xr:uid="{7EA8F6B0-F9FA-4473-A5F3-1552626A44FF}">
      <formula1>$N$4:$N$45</formula1>
    </dataValidation>
    <dataValidation type="list" allowBlank="1" showInputMessage="1" showErrorMessage="1" sqref="C14" xr:uid="{322BCA9F-9FE8-4B3A-ADBB-144399938C97}">
      <formula1>$M$17:$M$20</formula1>
    </dataValidation>
    <dataValidation type="list" allowBlank="1" showInputMessage="1" showErrorMessage="1" sqref="C21" xr:uid="{703823F6-BFA3-4297-B17F-C3569C8C9CCA}">
      <formula1>$M$17:$M$22</formula1>
    </dataValidation>
    <dataValidation type="list" allowBlank="1" showInputMessage="1" showErrorMessage="1" sqref="C10" xr:uid="{5AFA988D-6F5F-4F7D-9BEA-08985A8882C7}">
      <formula1>$L$18:$L$19</formula1>
    </dataValidation>
    <dataValidation type="list" allowBlank="1" showInputMessage="1" showErrorMessage="1" sqref="B33" xr:uid="{D3F775A7-6F00-4B6B-84CB-D35B39CA7994}">
      <formula1>$M$4:$M$6</formula1>
    </dataValidation>
    <dataValidation type="list" allowBlank="1" showInputMessage="1" showErrorMessage="1" sqref="B1" xr:uid="{8FB9678A-EB73-4231-BEEE-9EAD9F752CDC}">
      <formula1>$L$22:$L$26</formula1>
    </dataValidation>
    <dataValidation type="list" allowBlank="1" showInputMessage="1" showErrorMessage="1" sqref="B2" xr:uid="{8C939F6F-CF06-46DF-B24F-BAC1E620620B}">
      <formula1>$L$28:$L$29</formula1>
    </dataValidation>
    <dataValidation type="list" allowBlank="1" showInputMessage="1" showErrorMessage="1" sqref="D17" xr:uid="{C3AC74CF-FE5E-433C-B77B-5CF8BBE40C6C}">
      <formula1>$L$31:$L$32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Course Buyout Calc #1</vt:lpstr>
      <vt:lpstr>Course Buyout Calc #2</vt:lpstr>
      <vt:lpstr>Course Buyout Calc #3</vt:lpstr>
      <vt:lpstr>Course Buyout Calc #4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Escorcia, Jessica</dc:creator>
  <cp:lastModifiedBy>Heiligman, Sharon</cp:lastModifiedBy>
  <dcterms:created xsi:type="dcterms:W3CDTF">2023-12-15T14:57:43Z</dcterms:created>
  <dcterms:modified xsi:type="dcterms:W3CDTF">2025-01-30T20:03:20Z</dcterms:modified>
</cp:coreProperties>
</file>